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https://cytelinc.sharepoint.com/sites/PSE_EviGen/Shared Documents/Internal Projects/LiveSLR/mCRPC/28Jun2019 Parexel CLIN ECON 2011-2019/3. Extraction/"/>
    </mc:Choice>
  </mc:AlternateContent>
  <xr:revisionPtr revIDLastSave="1042" documentId="8_{A40E4DDD-2336-4673-B566-D8579D3AC514}" xr6:coauthVersionLast="47" xr6:coauthVersionMax="47" xr10:uidLastSave="{0042CD49-1A20-4FC4-8895-7A38D302945D}"/>
  <bookViews>
    <workbookView xWindow="-120" yWindow="-120" windowWidth="29040" windowHeight="15990" xr2:uid="{00000000-000D-0000-FFFF-FFFF00000000}"/>
  </bookViews>
  <sheets>
    <sheet name="Extraction" sheetId="1" r:id="rId1"/>
    <sheet name="TiAb Review" sheetId="10" state="hidden" r:id="rId2"/>
    <sheet name="RWE-Extraction" sheetId="9" state="hidden" r:id="rId3"/>
    <sheet name="Econ-Extraction" sheetId="8" state="hidden" r:id="rId4"/>
    <sheet name="QOL-Extraction" sheetId="7" state="hidden" r:id="rId5"/>
    <sheet name="CLIN-Extraction" sheetId="6" state="hidden" r:id="rId6"/>
  </sheets>
  <externalReferences>
    <externalReference r:id="rId7"/>
  </externalReferences>
  <definedNames>
    <definedName name="_xlnm._FilterDatabase" localSheetId="5" hidden="1">'CLIN-Extraction'!$A$1:$BT$1</definedName>
    <definedName name="_xlnm._FilterDatabase" localSheetId="3" hidden="1">'Econ-Extraction'!$A$1:$L$45</definedName>
    <definedName name="_xlnm._FilterDatabase" localSheetId="0" hidden="1">Extraction!$A$5:$EU$5</definedName>
    <definedName name="_xlnm._FilterDatabase" localSheetId="4" hidden="1">'QOL-Extraction'!$A$4:$G$4</definedName>
    <definedName name="_xlnm._FilterDatabase" localSheetId="2" hidden="1">'RWE-Extraction'!$A$9:$BP$33</definedName>
    <definedName name="_xlnm._FilterDatabase" localSheetId="1" hidden="1">'TiAb Review'!$A$1:$G$1</definedName>
    <definedName name="AE_C" localSheetId="5">#REF!</definedName>
    <definedName name="AE_C" localSheetId="3">#REF!</definedName>
    <definedName name="AE_C" localSheetId="4">#REF!</definedName>
    <definedName name="AE_C" localSheetId="2">#REF!</definedName>
    <definedName name="AE_t" localSheetId="5">#REF!</definedName>
    <definedName name="AE_t" localSheetId="3">#REF!</definedName>
    <definedName name="AE_t" localSheetId="4">#REF!</definedName>
    <definedName name="AE_t" localSheetId="2">#REF!</definedName>
    <definedName name="ASM_SLR" localSheetId="5">#REF!</definedName>
    <definedName name="ASM_SLR" localSheetId="3">#REF!</definedName>
    <definedName name="ASM_SLR" localSheetId="4">#REF!</definedName>
    <definedName name="ASM_SLR" localSheetId="2">#REF!</definedName>
    <definedName name="Bevacizumab_BiWeekly" localSheetId="5">[1]Inputs!#REF!</definedName>
    <definedName name="Bevacizumab_BiWeekly" localSheetId="3">[1]Inputs!#REF!</definedName>
    <definedName name="Bevacizumab_BiWeekly" localSheetId="4">[1]Inputs!#REF!</definedName>
    <definedName name="Bevacizumab_BiWeekly" localSheetId="2">[1]Inputs!#REF!</definedName>
    <definedName name="Comp_acro" localSheetId="5">#REF!</definedName>
    <definedName name="Comp_acro" localSheetId="3">#REF!</definedName>
    <definedName name="Comp_acro" localSheetId="4">#REF!</definedName>
    <definedName name="Comp_acro" localSheetId="2">#REF!</definedName>
    <definedName name="D_key_line" localSheetId="5">#REF!</definedName>
    <definedName name="D_key_line" localSheetId="3">#REF!</definedName>
    <definedName name="D_key_line" localSheetId="4">#REF!</definedName>
    <definedName name="D_key_line" localSheetId="2">#REF!</definedName>
    <definedName name="D_nb" localSheetId="5">#REF!</definedName>
    <definedName name="D_nb" localSheetId="3">#REF!</definedName>
    <definedName name="D_nb" localSheetId="4">#REF!</definedName>
    <definedName name="D_nb" localSheetId="2">#REF!</definedName>
    <definedName name="D_question" localSheetId="5">#REF!</definedName>
    <definedName name="D_question" localSheetId="3">#REF!</definedName>
    <definedName name="D_question" localSheetId="4">#REF!</definedName>
    <definedName name="D_question" localSheetId="2">#REF!</definedName>
    <definedName name="D_ref" localSheetId="5">#REF!</definedName>
    <definedName name="D_ref" localSheetId="3">#REF!</definedName>
    <definedName name="D_ref" localSheetId="4">#REF!</definedName>
    <definedName name="D_ref" localSheetId="2">#REF!</definedName>
    <definedName name="ECON_Ex" localSheetId="3">'Econ-Extraction'!$A:$AA</definedName>
    <definedName name="ECON_Ex" localSheetId="2">'Econ-Extraction'!$A:$AA</definedName>
    <definedName name="EGFRpostCHEMO" localSheetId="5">#REF!</definedName>
    <definedName name="EGFRpostCHEMO" localSheetId="3">#REF!</definedName>
    <definedName name="EGFRpostCHEMO" localSheetId="4">#REF!</definedName>
    <definedName name="EGFRpostCHEMO" localSheetId="2">#REF!</definedName>
    <definedName name="EGFRpostTKI" localSheetId="5">#REF!</definedName>
    <definedName name="EGFRpostTKI" localSheetId="3">#REF!</definedName>
    <definedName name="EGFRpostTKI" localSheetId="4">#REF!</definedName>
    <definedName name="EGFRpostTKI" localSheetId="2">#REF!</definedName>
    <definedName name="Extraction" localSheetId="5">#REF!</definedName>
    <definedName name="Extraction" localSheetId="3">#REF!</definedName>
    <definedName name="Extraction" localSheetId="4">#REF!</definedName>
    <definedName name="Extraction" localSheetId="2">#REF!</definedName>
    <definedName name="ExtractionM1L" localSheetId="5">#REF!</definedName>
    <definedName name="ExtractionM1L" localSheetId="3">#REF!</definedName>
    <definedName name="ExtractionM1L" localSheetId="4">#REF!</definedName>
    <definedName name="ExtractionM1L" localSheetId="2">#REF!</definedName>
    <definedName name="INT_ae" localSheetId="5">#REF!</definedName>
    <definedName name="INT_ae" localSheetId="3">#REF!</definedName>
    <definedName name="INT_ae" localSheetId="4">#REF!</definedName>
    <definedName name="INT_ae" localSheetId="2">#REF!</definedName>
    <definedName name="Inter_name" localSheetId="5">#REF!</definedName>
    <definedName name="Inter_name" localSheetId="3">#REF!</definedName>
    <definedName name="Inter_name" localSheetId="4">#REF!</definedName>
    <definedName name="Inter_name" localSheetId="2">#REF!</definedName>
    <definedName name="INTxxx" localSheetId="5">#REF!</definedName>
    <definedName name="INTxxx" localSheetId="3">#REF!</definedName>
    <definedName name="INTxxx" localSheetId="4">#REF!</definedName>
    <definedName name="INTxxx" localSheetId="2">#REF!</definedName>
    <definedName name="m" localSheetId="5">#REF!</definedName>
    <definedName name="m" localSheetId="3">#REF!</definedName>
    <definedName name="m" localSheetId="4">#REF!</definedName>
    <definedName name="m" localSheetId="2">#REF!</definedName>
    <definedName name="nnn" localSheetId="5">#REF!</definedName>
    <definedName name="nnn" localSheetId="3">#REF!</definedName>
    <definedName name="nnn" localSheetId="4">#REF!</definedName>
    <definedName name="nnn" localSheetId="2">#REF!</definedName>
    <definedName name="prop_ae_c" localSheetId="5">#REF!</definedName>
    <definedName name="prop_ae_c" localSheetId="3">#REF!</definedName>
    <definedName name="prop_ae_c" localSheetId="4">#REF!</definedName>
    <definedName name="prop_ae_c" localSheetId="2">#REF!</definedName>
    <definedName name="prop_AE_t" localSheetId="5">#REF!</definedName>
    <definedName name="prop_AE_t" localSheetId="3">#REF!</definedName>
    <definedName name="prop_AE_t" localSheetId="4">#REF!</definedName>
    <definedName name="prop_AE_t" localSheetId="2">#REF!</definedName>
    <definedName name="PubMed" localSheetId="5">#REF!</definedName>
    <definedName name="PubMed" localSheetId="3">#REF!</definedName>
    <definedName name="PubMed" localSheetId="4">#REF!</definedName>
    <definedName name="PubMed" localSheetId="2">#REF!</definedName>
    <definedName name="QOL_Ex" localSheetId="3">'QOL-Extraction'!$A:$AB</definedName>
    <definedName name="QOL_Ex" localSheetId="4">'QOL-Extraction'!$A:$AB</definedName>
    <definedName name="QOL_Ex" localSheetId="2">'QOL-Extraction'!$A:$AB</definedName>
    <definedName name="RCT_total" localSheetId="5">'CLIN-Extraction'!$1:$1048576</definedName>
    <definedName name="RCT_total" localSheetId="3">'CLIN-Extraction'!$1:$1048576</definedName>
    <definedName name="RCT_total" localSheetId="4">'CLIN-Extraction'!$1:$1048576</definedName>
    <definedName name="RCT_total" localSheetId="2">'CLIN-Extraction'!$1:$1048576</definedName>
    <definedName name="RCT_total2" localSheetId="5">'CLIN-Extraction'!$A:$BT</definedName>
    <definedName name="RCT_total2" localSheetId="3">'CLIN-Extraction'!$A:$BT</definedName>
    <definedName name="RCT_total2" localSheetId="4">'CLIN-Extraction'!$A:$BT</definedName>
    <definedName name="RCT_total2" localSheetId="2">'CLIN-Extraction'!$A:$BT</definedName>
    <definedName name="SafetyM1L" localSheetId="5">#REF!</definedName>
    <definedName name="SafetyM1L" localSheetId="3">#REF!</definedName>
    <definedName name="SafetyM1L" localSheetId="4">#REF!</definedName>
    <definedName name="SafetyM1L" localSheetId="2">#REF!</definedName>
    <definedName name="temp" localSheetId="5">#REF!</definedName>
    <definedName name="temp" localSheetId="3">#REF!</definedName>
    <definedName name="temp" localSheetId="4">#REF!</definedName>
    <definedName name="temp" localSheetId="2">#REF!</definedName>
    <definedName name="temp2" localSheetId="5">#REF!</definedName>
    <definedName name="temp2" localSheetId="3">#REF!</definedName>
    <definedName name="temp2" localSheetId="4">#REF!</definedName>
    <definedName name="temp2" localSheetId="2">#REF!</definedName>
    <definedName name="x" localSheetId="5">#REF!</definedName>
    <definedName name="x" localSheetId="3">#REF!</definedName>
    <definedName name="x" localSheetId="4">#REF!</definedName>
    <definedName name="x" localSheetId="2">#REF!</definedName>
    <definedName name="xx" localSheetId="5">#REF!</definedName>
    <definedName name="xx" localSheetId="3">#REF!</definedName>
    <definedName name="xx" localSheetId="4">#REF!</definedName>
    <definedName name="xx" localSheetId="2">#REF!</definedName>
    <definedName name="xxx" localSheetId="5">#REF!</definedName>
    <definedName name="xxx" localSheetId="3">#REF!</definedName>
    <definedName name="xxx" localSheetId="4">#REF!</definedName>
    <definedName name="xxx" localSheetId="2">#REF!</definedName>
    <definedName name="xxxvvvvv" localSheetId="5">#REF!</definedName>
    <definedName name="xxxvvvvv" localSheetId="3">#REF!</definedName>
    <definedName name="xxxvvvvv" localSheetId="4">#REF!</definedName>
    <definedName name="xxxvvvvv" localSheetId="2">#REF!</definedName>
    <definedName name="XXXX" localSheetId="5">#REF!</definedName>
    <definedName name="XXXX" localSheetId="3">#REF!</definedName>
    <definedName name="XXXX" localSheetId="4">#REF!</definedName>
    <definedName name="XXXX" localSheetId="2">#REF!</definedName>
    <definedName name="xxxxx" localSheetId="5">#REF!</definedName>
    <definedName name="xxxxx" localSheetId="3">#REF!</definedName>
    <definedName name="xxxxx" localSheetId="4">#REF!</definedName>
    <definedName name="xxxxx" localSheetId="2">#REF!</definedName>
    <definedName name="xxxxxxx" localSheetId="5">#REF!</definedName>
    <definedName name="xxxxxxx" localSheetId="3">#REF!</definedName>
    <definedName name="xxxxxxx" localSheetId="4">#REF!</definedName>
    <definedName name="xxxxxxx" localSheetId="2">#REF!</definedName>
    <definedName name="xxxxxxxx" localSheetId="5">#REF!</definedName>
    <definedName name="xxxxxxxx" localSheetId="3">#REF!</definedName>
    <definedName name="xxxxxxxx" localSheetId="4">#REF!</definedName>
    <definedName name="xxxxxxxx" localSheetId="2">#REF!</definedName>
    <definedName name="xxxxxxxxxx" localSheetId="5">#REF!</definedName>
    <definedName name="xxxxxxxxxx" localSheetId="3">#REF!</definedName>
    <definedName name="xxxxxxxxxx" localSheetId="4">#REF!</definedName>
    <definedName name="xxxxxxxxxx" localSheetId="2">#REF!</definedName>
    <definedName name="xzzzzzzz" localSheetId="5">#REF!</definedName>
    <definedName name="xzzzzzzz" localSheetId="3">#REF!</definedName>
    <definedName name="xzzzzzzz" localSheetId="4">#REF!</definedName>
    <definedName name="xzzzzzzz" localSheetId="2">#REF!</definedName>
    <definedName name="zxxxxx" localSheetId="5">#REF!</definedName>
    <definedName name="zxxxxx" localSheetId="3">#REF!</definedName>
    <definedName name="zxxxxx" localSheetId="4">#REF!</definedName>
    <definedName name="zxxxxx" localSheetId="2">#REF!</definedName>
    <definedName name="zzz" localSheetId="5">#REF!</definedName>
    <definedName name="zzz" localSheetId="3">#REF!</definedName>
    <definedName name="zzz" localSheetId="4">#REF!</definedName>
    <definedName name="zzz" localSheetId="2">#REF!</definedName>
    <definedName name="zzzznnn" localSheetId="5">#REF!</definedName>
    <definedName name="zzzznnn" localSheetId="3">#REF!</definedName>
    <definedName name="zzzznnn" localSheetId="4">#REF!</definedName>
    <definedName name="zzzznnn" localSheetId="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125" i="1" l="1"/>
  <c r="AB125" i="1" s="1"/>
  <c r="X121" i="1"/>
  <c r="AB121" i="1" s="1"/>
  <c r="X117" i="1"/>
  <c r="AB117" i="1" s="1"/>
  <c r="AD105" i="1"/>
  <c r="AB93" i="1"/>
  <c r="AB133" i="1"/>
  <c r="AB129" i="1"/>
  <c r="AB113" i="1"/>
  <c r="AB109" i="1"/>
  <c r="AB105" i="1"/>
  <c r="AB101" i="1"/>
  <c r="AB97" i="1"/>
  <c r="X62" i="1"/>
  <c r="AB14" i="1" l="1"/>
  <c r="AB10" i="1"/>
  <c r="AB6" i="1"/>
  <c r="AQ22" i="1" l="1"/>
  <c r="AQ34" i="1"/>
  <c r="AQ50" i="1"/>
  <c r="AQ10" i="1"/>
  <c r="AQ42" i="1"/>
  <c r="AQ26" i="1"/>
  <c r="AQ46" i="1"/>
  <c r="AQ54" i="1"/>
  <c r="AQ14" i="1"/>
  <c r="AQ18" i="1"/>
  <c r="AQ6" i="1"/>
  <c r="AQ38" i="1"/>
  <c r="X105" i="6"/>
  <c r="M105" i="6"/>
  <c r="K105" i="6"/>
  <c r="AQ104" i="6"/>
  <c r="AB104" i="6"/>
  <c r="AQ103" i="6"/>
  <c r="AB103" i="6"/>
  <c r="AS102" i="6"/>
  <c r="AQ102" i="6"/>
  <c r="AN102" i="6"/>
  <c r="AI102" i="6"/>
  <c r="AB102" i="6"/>
  <c r="X102" i="6"/>
  <c r="M102" i="6"/>
  <c r="K102" i="6"/>
  <c r="X101" i="6"/>
  <c r="M101" i="6"/>
  <c r="K101" i="6"/>
  <c r="M100" i="6"/>
  <c r="K100" i="6"/>
  <c r="X98" i="6"/>
  <c r="M98" i="6"/>
  <c r="K98" i="6"/>
  <c r="AI97" i="6"/>
  <c r="X97" i="6"/>
  <c r="M97" i="6"/>
  <c r="AI96" i="6"/>
  <c r="X96" i="6"/>
  <c r="M96" i="6"/>
  <c r="K96" i="6"/>
  <c r="AN94" i="6"/>
  <c r="X94" i="6"/>
  <c r="M94" i="6"/>
  <c r="K94" i="6"/>
  <c r="AS92" i="6"/>
  <c r="AI92" i="6"/>
  <c r="X92" i="6"/>
  <c r="K92" i="6"/>
  <c r="X90" i="6"/>
  <c r="X88" i="6"/>
  <c r="X85" i="6"/>
  <c r="X83" i="6"/>
  <c r="X81" i="6"/>
  <c r="X79" i="6"/>
  <c r="X77" i="6"/>
  <c r="X75" i="6"/>
  <c r="X73" i="6"/>
  <c r="X71" i="6"/>
  <c r="N70" i="6"/>
  <c r="X69" i="6"/>
  <c r="N69" i="6"/>
  <c r="X67" i="6"/>
  <c r="X65" i="6"/>
  <c r="X61" i="6"/>
  <c r="X59" i="6"/>
  <c r="X57" i="6"/>
  <c r="X55" i="6"/>
  <c r="X53" i="6"/>
  <c r="X51" i="6"/>
  <c r="X49" i="6"/>
  <c r="X46" i="6"/>
  <c r="X44" i="6"/>
  <c r="X42" i="6"/>
  <c r="X28" i="6"/>
  <c r="X26" i="6"/>
  <c r="X24" i="6"/>
  <c r="X18" i="6"/>
  <c r="X16" i="6"/>
  <c r="X14" i="6"/>
  <c r="X12" i="6"/>
  <c r="AB11" i="6"/>
  <c r="J11" i="6"/>
  <c r="AB10" i="6"/>
  <c r="J10" i="6"/>
  <c r="Y8" i="6"/>
  <c r="X8" i="6"/>
  <c r="Y6" i="6"/>
  <c r="X6" i="6"/>
  <c r="AB5" i="6"/>
  <c r="AB4" i="6"/>
  <c r="Y2" i="6"/>
  <c r="X2" i="6"/>
  <c r="N27" i="7"/>
  <c r="L27" i="7"/>
  <c r="N26" i="7"/>
  <c r="L26" i="7"/>
  <c r="N25" i="7"/>
  <c r="L25" i="7"/>
  <c r="N24" i="7"/>
  <c r="L24" i="7"/>
  <c r="N23" i="7"/>
  <c r="L23" i="7"/>
  <c r="N22" i="7"/>
  <c r="L22" i="7"/>
  <c r="N21" i="7"/>
  <c r="L21" i="7"/>
  <c r="N20" i="7"/>
  <c r="L20" i="7"/>
  <c r="N19" i="7"/>
  <c r="L19" i="7"/>
  <c r="N18" i="7"/>
  <c r="L18" i="7"/>
  <c r="N17" i="7"/>
  <c r="L17" i="7"/>
  <c r="N16" i="7"/>
  <c r="L16" i="7"/>
  <c r="N15" i="7"/>
  <c r="L15" i="7"/>
  <c r="N14" i="7"/>
  <c r="L14" i="7"/>
  <c r="N13" i="7"/>
  <c r="L13" i="7"/>
  <c r="N12" i="7"/>
  <c r="L12" i="7"/>
  <c r="N11" i="7"/>
  <c r="L11" i="7"/>
  <c r="N10" i="7"/>
  <c r="L10" i="7"/>
  <c r="N9" i="7"/>
  <c r="L9" i="7"/>
  <c r="N8" i="7"/>
  <c r="L8" i="7"/>
  <c r="N7" i="7"/>
  <c r="L7" i="7"/>
  <c r="N6" i="7"/>
  <c r="L6" i="7"/>
  <c r="N5" i="7"/>
  <c r="L5" i="7"/>
  <c r="N45" i="8"/>
  <c r="N44" i="8"/>
  <c r="N43" i="8"/>
  <c r="N42" i="8"/>
  <c r="N41" i="8"/>
  <c r="N40" i="8"/>
  <c r="N39" i="8"/>
  <c r="N38" i="8"/>
  <c r="N37" i="8"/>
  <c r="N36" i="8"/>
  <c r="N35" i="8"/>
  <c r="N34" i="8"/>
  <c r="N33" i="8"/>
  <c r="N32" i="8"/>
  <c r="N31" i="8"/>
  <c r="N30" i="8"/>
  <c r="N29" i="8"/>
  <c r="N28" i="8"/>
  <c r="N27" i="8"/>
  <c r="N26" i="8"/>
  <c r="N25" i="8"/>
  <c r="N24" i="8"/>
  <c r="N23" i="8"/>
  <c r="N22" i="8"/>
  <c r="N21" i="8"/>
  <c r="N20" i="8"/>
  <c r="N19" i="8"/>
  <c r="N18" i="8"/>
  <c r="N17" i="8"/>
  <c r="N16" i="8"/>
  <c r="N15" i="8"/>
  <c r="N14" i="8"/>
  <c r="N13" i="8"/>
  <c r="N12" i="8"/>
  <c r="N11" i="8"/>
  <c r="N10" i="8"/>
  <c r="N9" i="8"/>
  <c r="N8" i="8"/>
  <c r="N7" i="8"/>
  <c r="N6" i="8"/>
  <c r="N5" i="8"/>
  <c r="N4" i="8"/>
  <c r="N3" i="8"/>
  <c r="N2" i="8"/>
  <c r="BP33" i="9"/>
  <c r="AZ33" i="9"/>
  <c r="AX33" i="9"/>
  <c r="AV33" i="9"/>
  <c r="AM33" i="9"/>
  <c r="AF33" i="9"/>
  <c r="X33" i="9"/>
  <c r="N33" i="9"/>
  <c r="BP32" i="9"/>
  <c r="X32" i="9"/>
  <c r="BP31" i="9"/>
  <c r="X31" i="9"/>
  <c r="K31" i="9"/>
  <c r="BP30" i="9"/>
  <c r="AZ30" i="9"/>
  <c r="AY30" i="9"/>
  <c r="AX30" i="9"/>
  <c r="AV30" i="9"/>
  <c r="AM30" i="9"/>
  <c r="AF30" i="9"/>
  <c r="X30" i="9"/>
  <c r="BP29" i="9"/>
  <c r="BG29" i="9"/>
  <c r="AZ29" i="9"/>
  <c r="AY29" i="9"/>
  <c r="AM29" i="9"/>
  <c r="AF29" i="9"/>
  <c r="X29" i="9"/>
  <c r="BP28" i="9"/>
  <c r="AZ28" i="9"/>
  <c r="AY28" i="9"/>
  <c r="AX28" i="9"/>
  <c r="AV28" i="9"/>
  <c r="AM28" i="9"/>
  <c r="AF28" i="9"/>
  <c r="X28" i="9"/>
  <c r="BP27" i="9"/>
  <c r="AZ27" i="9"/>
  <c r="AX27" i="9"/>
  <c r="AM27" i="9"/>
  <c r="AF27" i="9"/>
  <c r="X27" i="9"/>
  <c r="BP26" i="9"/>
  <c r="AM26" i="9"/>
  <c r="AF26" i="9"/>
  <c r="X26" i="9"/>
  <c r="BP25" i="9"/>
  <c r="AZ25" i="9"/>
  <c r="AX25" i="9"/>
  <c r="AV25" i="9"/>
  <c r="AM25" i="9"/>
  <c r="AF25" i="9"/>
  <c r="Y25" i="9"/>
  <c r="X25" i="9"/>
  <c r="BP24" i="9"/>
  <c r="AV24" i="9"/>
  <c r="AF24" i="9"/>
  <c r="X24" i="9"/>
  <c r="BP23" i="9"/>
  <c r="AX23" i="9"/>
  <c r="AV23" i="9"/>
  <c r="AM23" i="9"/>
  <c r="AF23" i="9"/>
  <c r="X23" i="9"/>
  <c r="J23" i="9"/>
  <c r="BP22" i="9"/>
  <c r="AM22" i="9"/>
  <c r="AF22" i="9"/>
  <c r="X22" i="9"/>
  <c r="J22" i="9"/>
  <c r="BP21" i="9"/>
  <c r="AZ21" i="9"/>
  <c r="AX21" i="9"/>
  <c r="AV21" i="9"/>
  <c r="AM21" i="9"/>
  <c r="AF21" i="9"/>
  <c r="Y21" i="9"/>
  <c r="X21" i="9"/>
  <c r="O21" i="9"/>
  <c r="BP20" i="9"/>
  <c r="AM20" i="9"/>
  <c r="AF20" i="9"/>
  <c r="X20" i="9"/>
  <c r="V20" i="9"/>
  <c r="BP19" i="9"/>
  <c r="BJ19" i="9"/>
  <c r="AX19" i="9"/>
  <c r="AV19" i="9"/>
  <c r="AM19" i="9"/>
  <c r="AF19" i="9"/>
  <c r="X19" i="9"/>
  <c r="O19" i="9"/>
  <c r="J19" i="9"/>
  <c r="BP18" i="9"/>
  <c r="X18" i="9"/>
  <c r="J18" i="9"/>
  <c r="BP17" i="9"/>
  <c r="AV17" i="9"/>
  <c r="AT17" i="9"/>
  <c r="AM17" i="9"/>
  <c r="AF17" i="9"/>
  <c r="Y17" i="9"/>
  <c r="X17" i="9"/>
  <c r="Q17" i="9"/>
  <c r="P17" i="9"/>
  <c r="O17" i="9"/>
  <c r="BP16" i="9"/>
  <c r="AF16" i="9"/>
  <c r="X16" i="9"/>
  <c r="BP15" i="9"/>
  <c r="X15" i="9"/>
  <c r="Q15" i="9"/>
  <c r="P15" i="9"/>
  <c r="BP14" i="9"/>
  <c r="BJ14" i="9"/>
  <c r="AX14" i="9"/>
  <c r="AT14" i="9"/>
  <c r="AP14" i="9"/>
  <c r="AO14" i="9"/>
  <c r="AM14" i="9"/>
  <c r="AI14" i="9"/>
  <c r="AH14" i="9"/>
  <c r="AF14" i="9"/>
  <c r="AB14" i="9"/>
  <c r="AA14" i="9"/>
  <c r="X14" i="9"/>
  <c r="BP13" i="9"/>
  <c r="X13" i="9"/>
  <c r="O13" i="9"/>
  <c r="J13" i="9"/>
  <c r="BP12" i="9"/>
  <c r="AZ12" i="9"/>
  <c r="AX12" i="9"/>
  <c r="AV12" i="9"/>
  <c r="AM12" i="9"/>
  <c r="AF12" i="9"/>
  <c r="X12" i="9"/>
  <c r="N12" i="9"/>
  <c r="BP11" i="9"/>
  <c r="X11" i="9"/>
  <c r="J11" i="9"/>
  <c r="BP10" i="9"/>
  <c r="AT10" i="9"/>
  <c r="AM10" i="9"/>
  <c r="AF10" i="9"/>
  <c r="X10" i="9"/>
  <c r="Q10" i="9"/>
  <c r="P10" i="9"/>
  <c r="J10" i="9"/>
  <c r="AD6" i="1"/>
  <c r="AD18" i="1"/>
  <c r="AD14" i="1"/>
  <c r="AD54" i="1"/>
  <c r="U47" i="1"/>
  <c r="AD46" i="1"/>
  <c r="U46" i="1"/>
  <c r="AD10" i="1"/>
  <c r="AD50" i="1"/>
  <c r="U35" i="1"/>
  <c r="AD34" i="1"/>
  <c r="U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rozee</author>
    <author>Chen He</author>
    <author>Junhan Liu</author>
  </authors>
  <commentList>
    <comment ref="H5" authorId="0" shapeId="0" xr:uid="{F68BC070-DE72-4CDB-A434-F2DA95D07012}">
      <text>
        <r>
          <rPr>
            <sz val="11"/>
            <color theme="1"/>
            <rFont val="Arial"/>
            <family val="2"/>
          </rPr>
          <t>Ed Kim:
Last Name, rest of the name in any form.
Ex) Kim, E
Kim, Edward
Kim Edward Moon
Kim, EM</t>
        </r>
      </text>
    </comment>
    <comment ref="AJ5" authorId="1" shapeId="0" xr:uid="{D62D9E64-F522-4EEA-91D1-E890E300F2DF}">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CD5" authorId="2" shapeId="0" xr:uid="{FD6E2941-2DE8-47AE-AD26-21D8F0C8AA30}">
      <text>
        <r>
          <rPr>
            <b/>
            <sz val="9"/>
            <color indexed="81"/>
            <rFont val="Tahoma"/>
            <family val="2"/>
          </rPr>
          <t>rozee:</t>
        </r>
        <r>
          <rPr>
            <sz val="9"/>
            <color indexed="81"/>
            <rFont val="Tahoma"/>
            <family val="2"/>
          </rPr>
          <t xml:space="preserve">
Defined as reduction in PSA levels of over 50%</t>
        </r>
      </text>
    </comment>
    <comment ref="CE5" authorId="0" shapeId="0" xr:uid="{B530469B-ACE7-4F96-AC9E-EF118135B32A}">
      <text>
        <r>
          <rPr>
            <sz val="11"/>
            <color theme="1"/>
            <rFont val="Arial"/>
            <family val="2"/>
          </rPr>
          <t>Ed Kim:
Safety N for Grade 3-4 AEs (per arm) to Safety N</t>
        </r>
      </text>
    </comment>
    <comment ref="CX5" authorId="1" shapeId="0" xr:uid="{3833D8DC-825F-42C8-BE68-A78989D0BA64}">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ER5" authorId="0" shapeId="0" xr:uid="{44A8FA95-ACCF-405D-B851-03B60CD3E667}">
      <text>
        <r>
          <rPr>
            <sz val="11"/>
            <color theme="1"/>
            <rFont val="Arial"/>
            <family val="2"/>
          </rPr>
          <t>Ed Kim:
Safety N for Grade 3-4 AEs (per arm) to Safety N</t>
        </r>
      </text>
    </comment>
    <comment ref="M6" authorId="3" shapeId="0" xr:uid="{884C4D3D-6F6A-454C-830F-8E871F646FA0}">
      <text>
        <r>
          <rPr>
            <b/>
            <sz val="9"/>
            <color indexed="81"/>
            <rFont val="Tahoma"/>
            <family val="2"/>
          </rPr>
          <t>Chen He:</t>
        </r>
        <r>
          <rPr>
            <sz val="9"/>
            <color indexed="81"/>
            <rFont val="Tahoma"/>
            <family val="2"/>
          </rPr>
          <t xml:space="preserve">
[docetaxel]
undertook an open-label randomised phase 3 trial in men with metastatic castration-resistant prostate 
cancer who had received previous hormone therapy, but whose disease had progressed during or after treatment with a docetaxel-containing regimen. </t>
        </r>
      </text>
    </comment>
    <comment ref="AR6" authorId="2" shapeId="0" xr:uid="{DECF6755-8FE7-4BDE-90E6-699F4C6464DD}">
      <text>
        <r>
          <rPr>
            <b/>
            <sz val="9"/>
            <color indexed="81"/>
            <rFont val="Tahoma"/>
            <family val="2"/>
          </rPr>
          <t>rozee:</t>
        </r>
        <r>
          <rPr>
            <sz val="9"/>
            <color indexed="81"/>
            <rFont val="Tahoma"/>
            <family val="2"/>
          </rPr>
          <t xml:space="preserve">
OS estimated from Weibull distribution: 14.5, from Oudard_ASCO_2011 (abstract)</t>
        </r>
      </text>
    </comment>
    <comment ref="CD6" authorId="2" shapeId="0" xr:uid="{B34DAA51-A8A6-4DE7-B509-0ACF337FE04B}">
      <text>
        <r>
          <rPr>
            <b/>
            <sz val="9"/>
            <color indexed="81"/>
            <rFont val="Tahoma"/>
            <family val="2"/>
          </rPr>
          <t>rozee:</t>
        </r>
        <r>
          <rPr>
            <sz val="9"/>
            <color indexed="81"/>
            <rFont val="Tahoma"/>
            <family val="2"/>
          </rPr>
          <t xml:space="preserve">
Reported as %</t>
        </r>
      </text>
    </comment>
    <comment ref="AR7" authorId="2" shapeId="0" xr:uid="{3C6BC33B-BD7A-4E7B-8BD6-4C08CBC98540}">
      <text>
        <r>
          <rPr>
            <b/>
            <sz val="9"/>
            <color indexed="81"/>
            <rFont val="Tahoma"/>
            <family val="2"/>
          </rPr>
          <t>rozee:</t>
        </r>
        <r>
          <rPr>
            <sz val="9"/>
            <color indexed="81"/>
            <rFont val="Tahoma"/>
            <family val="2"/>
          </rPr>
          <t xml:space="preserve">
OS estimated from Weibull distribution: 18.5, from Oudard_ASCO_2011 (abstract)</t>
        </r>
      </text>
    </comment>
    <comment ref="CD7" authorId="2" shapeId="0" xr:uid="{35EFB282-5F3E-4A0C-8CD5-555BA6EF975B}">
      <text>
        <r>
          <rPr>
            <b/>
            <sz val="9"/>
            <color indexed="81"/>
            <rFont val="Tahoma"/>
            <family val="2"/>
          </rPr>
          <t>rozee:</t>
        </r>
        <r>
          <rPr>
            <sz val="9"/>
            <color indexed="81"/>
            <rFont val="Tahoma"/>
            <family val="2"/>
          </rPr>
          <t xml:space="preserve">
Reported as %</t>
        </r>
      </text>
    </comment>
    <comment ref="M10" authorId="3" shapeId="0" xr:uid="{FB2D3FA1-EE8B-4DAF-BDA4-BD00C59945CD}">
      <text>
        <r>
          <rPr>
            <b/>
            <sz val="9"/>
            <color indexed="81"/>
            <rFont val="Tahoma"/>
            <family val="2"/>
          </rPr>
          <t>Chen He:</t>
        </r>
        <r>
          <rPr>
            <sz val="9"/>
            <color indexed="81"/>
            <rFont val="Tahoma"/>
            <family val="2"/>
          </rPr>
          <t xml:space="preserve">
[docetaxel]
Eligible patients were at least 18 years old and had histologically or
cytologically confirmed adenocarcinoma of the prostate and radiographi cally documented metastatic disease with evidence of disease progression
(per RECIST 1.119 for soft tissue lesions or Prostate Cancer Working
Group criteria20 for bone disease, and/or PSA increase) after receiving
docetaxel</t>
        </r>
      </text>
    </comment>
    <comment ref="M14" authorId="3" shapeId="0" xr:uid="{2FD7CBD7-C80B-4942-B9C6-B2D3397C7E10}">
      <text>
        <r>
          <rPr>
            <b/>
            <sz val="9"/>
            <color indexed="81"/>
            <rFont val="Tahoma"/>
            <family val="2"/>
          </rPr>
          <t>Chen He:</t>
        </r>
        <r>
          <rPr>
            <sz val="9"/>
            <color indexed="81"/>
            <rFont val="Tahoma"/>
            <family val="2"/>
          </rPr>
          <t xml:space="preserve">
Patients were eligible if they had metastatic castration-resistant prostate cancer progressing after docetaxel.</t>
        </r>
      </text>
    </comment>
    <comment ref="AG14" authorId="2" shapeId="0" xr:uid="{18920471-94F9-4694-AE6C-8493AE097918}">
      <text>
        <r>
          <rPr>
            <b/>
            <sz val="9"/>
            <color indexed="81"/>
            <rFont val="Tahoma"/>
            <family val="2"/>
          </rPr>
          <t>rozee:</t>
        </r>
        <r>
          <rPr>
            <sz val="9"/>
            <color indexed="81"/>
            <rFont val="Tahoma"/>
            <family val="2"/>
          </rPr>
          <t xml:space="preserve">
Logothetis_LO_2012</t>
        </r>
      </text>
    </comment>
    <comment ref="AG15" authorId="2" shapeId="0" xr:uid="{DE735E6D-575B-4A10-9614-672ADB89E0FF}">
      <text>
        <r>
          <rPr>
            <b/>
            <sz val="9"/>
            <color indexed="81"/>
            <rFont val="Tahoma"/>
            <family val="2"/>
          </rPr>
          <t>rozee:</t>
        </r>
        <r>
          <rPr>
            <sz val="9"/>
            <color indexed="81"/>
            <rFont val="Tahoma"/>
            <family val="2"/>
          </rPr>
          <t xml:space="preserve">
Logothetis_LO_2012</t>
        </r>
      </text>
    </comment>
    <comment ref="M18" authorId="3" shapeId="0" xr:uid="{D9D7DB89-4DDE-4425-A7B6-D473B9E8C12C}">
      <text>
        <r>
          <rPr>
            <b/>
            <sz val="9"/>
            <color indexed="81"/>
            <rFont val="Tahoma"/>
            <family val="2"/>
          </rPr>
          <t>Chen He:</t>
        </r>
        <r>
          <rPr>
            <sz val="9"/>
            <color indexed="81"/>
            <rFont val="Tahoma"/>
            <family val="2"/>
          </rPr>
          <t xml:space="preserve">
[docetaxel]
patients with prostate cancer who had previously 
been treated with one or two chemotherapy regi mens, at least one of which contained docetaxel</t>
        </r>
      </text>
    </comment>
    <comment ref="AF18" authorId="2" shapeId="0" xr:uid="{BB4ECB14-2F98-4D13-9554-83C6089F91C5}">
      <text>
        <r>
          <rPr>
            <b/>
            <sz val="9"/>
            <color indexed="81"/>
            <rFont val="Tahoma"/>
            <family val="2"/>
          </rPr>
          <t>rozee:</t>
        </r>
        <r>
          <rPr>
            <sz val="9"/>
            <color indexed="81"/>
            <rFont val="Tahoma"/>
            <family val="2"/>
          </rPr>
          <t xml:space="preserve">
Median (range): 8 (1-10)</t>
        </r>
      </text>
    </comment>
    <comment ref="AI18" authorId="2" shapeId="0" xr:uid="{BC424659-7C59-4026-9E3F-5EE13F9F0F25}">
      <text>
        <r>
          <rPr>
            <b/>
            <sz val="9"/>
            <color indexed="81"/>
            <rFont val="Tahoma"/>
            <family val="2"/>
          </rPr>
          <t>rozee:</t>
        </r>
        <r>
          <rPr>
            <sz val="9"/>
            <color indexed="81"/>
            <rFont val="Tahoma"/>
            <family val="2"/>
          </rPr>
          <t xml:space="preserve">
converted from years</t>
        </r>
      </text>
    </comment>
    <comment ref="AF19" authorId="2" shapeId="0" xr:uid="{A62710C3-4901-4A49-BB45-2DF9D0381CD5}">
      <text>
        <r>
          <rPr>
            <b/>
            <sz val="9"/>
            <color indexed="81"/>
            <rFont val="Tahoma"/>
            <family val="2"/>
          </rPr>
          <t>rozee:</t>
        </r>
        <r>
          <rPr>
            <sz val="9"/>
            <color indexed="81"/>
            <rFont val="Tahoma"/>
            <family val="2"/>
          </rPr>
          <t xml:space="preserve">
Median (range): 8 (3-10)</t>
        </r>
      </text>
    </comment>
    <comment ref="AI19" authorId="2" shapeId="0" xr:uid="{2C87AF8E-F4E7-4220-9E89-10EF87E49CE5}">
      <text>
        <r>
          <rPr>
            <b/>
            <sz val="9"/>
            <color indexed="81"/>
            <rFont val="Tahoma"/>
            <family val="2"/>
          </rPr>
          <t>rozee:</t>
        </r>
        <r>
          <rPr>
            <sz val="9"/>
            <color indexed="81"/>
            <rFont val="Tahoma"/>
            <family val="2"/>
          </rPr>
          <t xml:space="preserve">
converted from years</t>
        </r>
      </text>
    </comment>
    <comment ref="M22" authorId="3" shapeId="0" xr:uid="{8ED94BDA-21CD-4F63-8A93-BADF2ABD2A88}">
      <text>
        <r>
          <rPr>
            <b/>
            <sz val="9"/>
            <color indexed="81"/>
            <rFont val="Tahoma"/>
            <family val="2"/>
          </rPr>
          <t>Chen He:</t>
        </r>
        <r>
          <rPr>
            <sz val="9"/>
            <color indexed="81"/>
            <rFont val="Tahoma"/>
            <family val="2"/>
          </rPr>
          <t xml:space="preserve">
had progressed after docetaxel treatment with a Karnofsky 
performance status of more than 70% and who were fit for chemotherapy</t>
        </r>
      </text>
    </comment>
    <comment ref="M26" authorId="3" shapeId="0" xr:uid="{A1B961BF-0E12-4625-878E-70E4B21B61EA}">
      <text>
        <r>
          <rPr>
            <b/>
            <sz val="9"/>
            <color indexed="81"/>
            <rFont val="Tahoma"/>
            <family val="2"/>
          </rPr>
          <t>Chen He:</t>
        </r>
        <r>
          <rPr>
            <sz val="9"/>
            <color indexed="81"/>
            <rFont val="Tahoma"/>
            <family val="2"/>
          </rPr>
          <t xml:space="preserve">
Patients were randomized (1:1) to second-line taxane (docetaxel retreatment or cabazitaxel; based on prior docetaxel response, progression) + 640 mg
custirsen or placebo. </t>
        </r>
      </text>
    </comment>
    <comment ref="M34" authorId="3" shapeId="0" xr:uid="{C6BFE654-F9EB-4D97-A993-B4775BD676E6}">
      <text>
        <r>
          <rPr>
            <b/>
            <sz val="9"/>
            <color indexed="81"/>
            <rFont val="Tahoma"/>
            <family val="2"/>
          </rPr>
          <t>Chen He:</t>
        </r>
        <r>
          <rPr>
            <sz val="9"/>
            <color indexed="81"/>
            <rFont val="Tahoma"/>
            <family val="2"/>
          </rPr>
          <t xml:space="preserve">
Men with progressive mCRPC after docetaxel and abiraterone and/or enzalutamide</t>
        </r>
      </text>
    </comment>
    <comment ref="U34" authorId="2" shapeId="0" xr:uid="{A2778B75-699B-4FC3-9893-A15C9458382E}">
      <text>
        <r>
          <rPr>
            <b/>
            <sz val="9"/>
            <color indexed="81"/>
            <rFont val="Tahoma"/>
            <family val="2"/>
          </rPr>
          <t>rozee:</t>
        </r>
        <r>
          <rPr>
            <sz val="9"/>
            <color indexed="81"/>
            <rFont val="Tahoma"/>
            <family val="2"/>
          </rPr>
          <t xml:space="preserve">
Reported to be 20.1 weeks. Converted to months</t>
        </r>
      </text>
    </comment>
    <comment ref="CH34" authorId="3" shapeId="0" xr:uid="{D9A2D6CE-4401-4430-B684-0820D0A48C8D}">
      <text>
        <r>
          <rPr>
            <b/>
            <sz val="9"/>
            <color indexed="81"/>
            <rFont val="Tahoma"/>
            <family val="2"/>
          </rPr>
          <t>Chen He:</t>
        </r>
        <r>
          <rPr>
            <sz val="9"/>
            <color indexed="81"/>
            <rFont val="Tahoma"/>
            <family val="2"/>
          </rPr>
          <t xml:space="preserve">
SAEs were reported by 62% and 53% of patients in the cabo zantinib and prednisone groups, respectively</t>
        </r>
      </text>
    </comment>
    <comment ref="U35" authorId="2" shapeId="0" xr:uid="{164D0D6A-F865-4AEB-9063-7240E9F0F20F}">
      <text>
        <r>
          <rPr>
            <b/>
            <sz val="9"/>
            <color indexed="81"/>
            <rFont val="Tahoma"/>
            <family val="2"/>
          </rPr>
          <t>rozee:</t>
        </r>
        <r>
          <rPr>
            <sz val="9"/>
            <color indexed="81"/>
            <rFont val="Tahoma"/>
            <family val="2"/>
          </rPr>
          <t xml:space="preserve">
Reported to be 12.3 weeks. Converted to months</t>
        </r>
      </text>
    </comment>
    <comment ref="M38" authorId="3" shapeId="0" xr:uid="{563736C5-EF4D-4300-ABEF-47C2C29985B0}">
      <text>
        <r>
          <rPr>
            <b/>
            <sz val="9"/>
            <color indexed="81"/>
            <rFont val="Tahoma"/>
            <family val="2"/>
          </rPr>
          <t>Chen He:</t>
        </r>
        <r>
          <rPr>
            <sz val="9"/>
            <color indexed="81"/>
            <rFont val="Tahoma"/>
            <family val="2"/>
          </rPr>
          <t xml:space="preserve">
progressed after treatment with docetaxel and either abiraterone or enzalutamide.</t>
        </r>
      </text>
    </comment>
    <comment ref="AF42" authorId="2" shapeId="0" xr:uid="{264ED95C-8CBF-4EBA-8D91-2EBCFD83D2B6}">
      <text>
        <r>
          <rPr>
            <b/>
            <sz val="9"/>
            <color indexed="81"/>
            <rFont val="Tahoma"/>
            <family val="2"/>
          </rPr>
          <t>rozee:</t>
        </r>
        <r>
          <rPr>
            <sz val="9"/>
            <color indexed="81"/>
            <rFont val="Tahoma"/>
            <family val="2"/>
          </rPr>
          <t xml:space="preserve">
Median (range): 8 (4-10)</t>
        </r>
      </text>
    </comment>
    <comment ref="AU42" authorId="2" shapeId="0" xr:uid="{B678C72E-5E51-4753-AEF9-AAC0452F3643}">
      <text>
        <r>
          <rPr>
            <b/>
            <sz val="9"/>
            <color indexed="81"/>
            <rFont val="Tahoma"/>
            <family val="2"/>
          </rPr>
          <t>rozee:</t>
        </r>
        <r>
          <rPr>
            <sz val="9"/>
            <color indexed="81"/>
            <rFont val="Tahoma"/>
            <family val="2"/>
          </rPr>
          <t xml:space="preserve">
HR for death</t>
        </r>
      </text>
    </comment>
    <comment ref="AY42" authorId="2" shapeId="0" xr:uid="{D73F8624-BE21-4DBC-BDFC-946D7263222E}">
      <text>
        <r>
          <rPr>
            <b/>
            <sz val="9"/>
            <color indexed="81"/>
            <rFont val="Tahoma"/>
            <family val="2"/>
          </rPr>
          <t>rozee:</t>
        </r>
        <r>
          <rPr>
            <sz val="9"/>
            <color indexed="81"/>
            <rFont val="Tahoma"/>
            <family val="2"/>
          </rPr>
          <t xml:space="preserve">
Ye_ECC_2013 (abstract)</t>
        </r>
      </text>
    </comment>
    <comment ref="AZ42" authorId="2" shapeId="0" xr:uid="{9E6573FB-F8C7-4DC4-8A5B-9B2541F09851}">
      <text>
        <r>
          <rPr>
            <b/>
            <sz val="9"/>
            <color indexed="81"/>
            <rFont val="Tahoma"/>
            <family val="2"/>
          </rPr>
          <t>rozee:</t>
        </r>
        <r>
          <rPr>
            <sz val="9"/>
            <color indexed="81"/>
            <rFont val="Tahoma"/>
            <family val="2"/>
          </rPr>
          <t xml:space="preserve">
Ye_ECC_2013 (abstract)</t>
        </r>
      </text>
    </comment>
    <comment ref="CD42" authorId="2" shapeId="0" xr:uid="{444BEEAA-363E-4437-9D95-3F2CC25A9769}">
      <text>
        <r>
          <rPr>
            <b/>
            <sz val="9"/>
            <color indexed="81"/>
            <rFont val="Tahoma"/>
            <family val="2"/>
          </rPr>
          <t>rozee:</t>
        </r>
        <r>
          <rPr>
            <sz val="9"/>
            <color indexed="81"/>
            <rFont val="Tahoma"/>
            <family val="2"/>
          </rPr>
          <t xml:space="preserve">
Reported as 35.11%</t>
        </r>
      </text>
    </comment>
    <comment ref="CF42" authorId="2" shapeId="0" xr:uid="{BD7C7568-569C-48C1-AD98-E9051F355F3A}">
      <text>
        <r>
          <rPr>
            <b/>
            <sz val="9"/>
            <color indexed="81"/>
            <rFont val="Tahoma"/>
            <family val="2"/>
          </rPr>
          <t>rozee:</t>
        </r>
        <r>
          <rPr>
            <sz val="9"/>
            <color indexed="81"/>
            <rFont val="Tahoma"/>
            <family val="2"/>
          </rPr>
          <t xml:space="preserve">
Reported as 74.8%</t>
        </r>
      </text>
    </comment>
    <comment ref="AF43" authorId="2" shapeId="0" xr:uid="{9A995174-C1E0-4BF0-B3E0-70BDDFC2B29C}">
      <text>
        <r>
          <rPr>
            <b/>
            <sz val="9"/>
            <color indexed="81"/>
            <rFont val="Tahoma"/>
            <family val="2"/>
          </rPr>
          <t>rozee:</t>
        </r>
        <r>
          <rPr>
            <sz val="9"/>
            <color indexed="81"/>
            <rFont val="Tahoma"/>
            <family val="2"/>
          </rPr>
          <t xml:space="preserve">
Median (range): 8 (6-10)</t>
        </r>
      </text>
    </comment>
    <comment ref="AY43" authorId="2" shapeId="0" xr:uid="{021016A9-0064-484C-A517-FBCE1E1E2AC8}">
      <text>
        <r>
          <rPr>
            <b/>
            <sz val="9"/>
            <color indexed="81"/>
            <rFont val="Tahoma"/>
            <family val="2"/>
          </rPr>
          <t>rozee:</t>
        </r>
        <r>
          <rPr>
            <sz val="9"/>
            <color indexed="81"/>
            <rFont val="Tahoma"/>
            <family val="2"/>
          </rPr>
          <t xml:space="preserve">
Ye_ECC_2013 (abstract)</t>
        </r>
      </text>
    </comment>
    <comment ref="AZ43" authorId="2" shapeId="0" xr:uid="{EFF4F4D4-B333-41BA-859B-79B3EA66C32F}">
      <text>
        <r>
          <rPr>
            <b/>
            <sz val="9"/>
            <color indexed="81"/>
            <rFont val="Tahoma"/>
            <family val="2"/>
          </rPr>
          <t>rozee:</t>
        </r>
        <r>
          <rPr>
            <sz val="9"/>
            <color indexed="81"/>
            <rFont val="Tahoma"/>
            <family val="2"/>
          </rPr>
          <t xml:space="preserve">
Ye_ECC_2013 (abstract)</t>
        </r>
      </text>
    </comment>
    <comment ref="CD43" authorId="2" shapeId="0" xr:uid="{D6810383-505C-47E1-B69C-48318B0E9E42}">
      <text>
        <r>
          <rPr>
            <b/>
            <sz val="9"/>
            <color indexed="81"/>
            <rFont val="Tahoma"/>
            <family val="2"/>
          </rPr>
          <t>rozee:</t>
        </r>
        <r>
          <rPr>
            <sz val="9"/>
            <color indexed="81"/>
            <rFont val="Tahoma"/>
            <family val="2"/>
          </rPr>
          <t xml:space="preserve">
Reported as 19.39%</t>
        </r>
      </text>
    </comment>
    <comment ref="CF43" authorId="2" shapeId="0" xr:uid="{72B9DEB4-15D1-4F63-AF5B-99109A3F870A}">
      <text>
        <r>
          <rPr>
            <b/>
            <sz val="9"/>
            <color indexed="81"/>
            <rFont val="Tahoma"/>
            <family val="2"/>
          </rPr>
          <t>rozee:</t>
        </r>
        <r>
          <rPr>
            <sz val="9"/>
            <color indexed="81"/>
            <rFont val="Tahoma"/>
            <family val="2"/>
          </rPr>
          <t xml:space="preserve">
Reported as 67%</t>
        </r>
      </text>
    </comment>
    <comment ref="M46" authorId="3" shapeId="0" xr:uid="{EAC86433-343D-4386-B678-AAF839674765}">
      <text>
        <r>
          <rPr>
            <b/>
            <sz val="9"/>
            <color indexed="81"/>
            <rFont val="Tahoma"/>
            <family val="2"/>
          </rPr>
          <t>Chen He:</t>
        </r>
        <r>
          <rPr>
            <sz val="9"/>
            <color indexed="81"/>
            <rFont val="Tahoma"/>
            <family val="2"/>
          </rPr>
          <t xml:space="preserve">
Men with progressive mCRPC after docetaxel-based chemotherapy</t>
        </r>
      </text>
    </comment>
    <comment ref="U46" authorId="2" shapeId="0" xr:uid="{78106D81-7231-43E6-976B-91F7EFCB9B46}">
      <text>
        <r>
          <rPr>
            <b/>
            <sz val="9"/>
            <color indexed="81"/>
            <rFont val="Tahoma"/>
            <family val="2"/>
          </rPr>
          <t>rozee:</t>
        </r>
        <r>
          <rPr>
            <sz val="9"/>
            <color indexed="81"/>
            <rFont val="Tahoma"/>
            <family val="2"/>
          </rPr>
          <t xml:space="preserve">
reported to be 98 days. Converted to months</t>
        </r>
      </text>
    </comment>
    <comment ref="BW46" authorId="3" shapeId="0" xr:uid="{1016C834-75BA-455A-8FC4-82775B1F24B4}">
      <text>
        <r>
          <rPr>
            <b/>
            <sz val="9"/>
            <color indexed="81"/>
            <rFont val="Tahoma"/>
            <family val="2"/>
          </rPr>
          <t>Chen He:</t>
        </r>
        <r>
          <rPr>
            <sz val="9"/>
            <color indexed="81"/>
            <rFont val="Tahoma"/>
            <family val="2"/>
          </rPr>
          <t xml:space="preserve">
ORR was marginally higher with sunitinib (6%; 95% CI, 4% to 9%)
than with placebo (2%; 95% CI,   1% to 5%).</t>
        </r>
      </text>
    </comment>
    <comment ref="CL46" authorId="2" shapeId="0" xr:uid="{783450C0-E226-4C28-882C-540C522C2192}">
      <text>
        <r>
          <rPr>
            <b/>
            <sz val="9"/>
            <color indexed="81"/>
            <rFont val="Tahoma"/>
            <family val="2"/>
          </rPr>
          <t>rozee:</t>
        </r>
        <r>
          <rPr>
            <sz val="9"/>
            <color indexed="81"/>
            <rFont val="Tahoma"/>
            <family val="2"/>
          </rPr>
          <t xml:space="preserve">
calculated from %</t>
        </r>
      </text>
    </comment>
    <comment ref="U47" authorId="2" shapeId="0" xr:uid="{EBCC9E77-62BA-4B9F-947B-3D14B413F775}">
      <text>
        <r>
          <rPr>
            <b/>
            <sz val="9"/>
            <color indexed="81"/>
            <rFont val="Tahoma"/>
            <family val="2"/>
          </rPr>
          <t>rozee:</t>
        </r>
        <r>
          <rPr>
            <sz val="9"/>
            <color indexed="81"/>
            <rFont val="Tahoma"/>
            <family val="2"/>
          </rPr>
          <t xml:space="preserve">
reported to be 97 days, converted to months</t>
        </r>
      </text>
    </comment>
    <comment ref="CL47" authorId="2" shapeId="0" xr:uid="{85E2AF44-BABA-4C4A-94C3-4282686D5739}">
      <text>
        <r>
          <rPr>
            <b/>
            <sz val="9"/>
            <color indexed="81"/>
            <rFont val="Tahoma"/>
            <family val="2"/>
          </rPr>
          <t>rozee:</t>
        </r>
        <r>
          <rPr>
            <sz val="9"/>
            <color indexed="81"/>
            <rFont val="Tahoma"/>
            <family val="2"/>
          </rPr>
          <t xml:space="preserve">
calculated from %</t>
        </r>
      </text>
    </comment>
    <comment ref="M50" authorId="3" shapeId="0" xr:uid="{A67E6F68-DB2B-4D4A-AD07-9680057CD0A3}">
      <text>
        <r>
          <rPr>
            <b/>
            <sz val="9"/>
            <color indexed="81"/>
            <rFont val="Tahoma"/>
            <family val="2"/>
          </rPr>
          <t>Chen He:</t>
        </r>
        <r>
          <rPr>
            <sz val="9"/>
            <color indexed="81"/>
            <rFont val="Tahoma"/>
            <family val="2"/>
          </rPr>
          <t xml:space="preserve">
post docetaxel</t>
        </r>
      </text>
    </comment>
    <comment ref="AF50" authorId="2" shapeId="0" xr:uid="{D2850F62-091E-4039-8992-7755EFC90718}">
      <text>
        <r>
          <rPr>
            <b/>
            <sz val="9"/>
            <color indexed="81"/>
            <rFont val="Tahoma"/>
            <family val="2"/>
          </rPr>
          <t>rozee:</t>
        </r>
        <r>
          <rPr>
            <sz val="9"/>
            <color indexed="81"/>
            <rFont val="Tahoma"/>
            <family val="2"/>
          </rPr>
          <t xml:space="preserve">
Evaluable n=112 
Gleason score 7:
3 + 4 = 7: 18
4 + 3 = 7: 17</t>
        </r>
      </text>
    </comment>
    <comment ref="AF51" authorId="2" shapeId="0" xr:uid="{36017AD1-F30A-4D19-9CF3-5425B3C775E8}">
      <text>
        <r>
          <rPr>
            <b/>
            <sz val="9"/>
            <color indexed="81"/>
            <rFont val="Tahoma"/>
            <family val="2"/>
          </rPr>
          <t>rozee:</t>
        </r>
        <r>
          <rPr>
            <sz val="9"/>
            <color indexed="81"/>
            <rFont val="Tahoma"/>
            <family val="2"/>
          </rPr>
          <t xml:space="preserve">
Evaluable n=57
Gleason score 7:
3 + 4 = 7: 6
4 + 3 = 7: 8</t>
        </r>
      </text>
    </comment>
    <comment ref="W62" authorId="3" shapeId="0" xr:uid="{ACD92F5E-8CAD-4572-BBB6-72CF76E40A89}">
      <text>
        <r>
          <rPr>
            <b/>
            <sz val="9"/>
            <color indexed="81"/>
            <rFont val="Tahoma"/>
            <family val="2"/>
          </rPr>
          <t>Chen He:</t>
        </r>
        <r>
          <rPr>
            <sz val="9"/>
            <color indexed="81"/>
            <rFont val="Tahoma"/>
            <family val="2"/>
          </rPr>
          <t xml:space="preserve">
from https://clinicaltrials.gov/ct2/show/results/NCT00887198</t>
        </r>
      </text>
    </comment>
    <comment ref="AA62" authorId="3" shapeId="0" xr:uid="{8161AAD2-861D-4272-AC73-31977032BFB6}">
      <text>
        <r>
          <rPr>
            <b/>
            <sz val="9"/>
            <color indexed="81"/>
            <rFont val="Tahoma"/>
            <family val="2"/>
          </rPr>
          <t>Chen He:</t>
        </r>
        <r>
          <rPr>
            <sz val="9"/>
            <color indexed="81"/>
            <rFont val="Tahoma"/>
            <family val="2"/>
          </rPr>
          <t xml:space="preserve">
from https://clinicaltrials.gov/ct2/show/results/NCT00887198</t>
        </r>
      </text>
    </comment>
    <comment ref="D70" authorId="3" shapeId="0" xr:uid="{D8273B23-0210-4D79-8CCC-85014A1F57FE}">
      <text>
        <r>
          <rPr>
            <b/>
            <sz val="9"/>
            <color indexed="81"/>
            <rFont val="Tahoma"/>
            <family val="2"/>
          </rPr>
          <t>Chen He:</t>
        </r>
        <r>
          <rPr>
            <sz val="9"/>
            <color indexed="81"/>
            <rFont val="Tahoma"/>
            <family val="2"/>
          </rPr>
          <t xml:space="preserve">
Fulltext in QoL reference folder</t>
        </r>
      </text>
    </comment>
    <comment ref="R70" authorId="4" shapeId="0" xr:uid="{534399A4-8EC1-4362-BFFC-4DF5C85399BE}">
      <text>
        <r>
          <rPr>
            <b/>
            <sz val="9"/>
            <color indexed="81"/>
            <rFont val="Tahoma"/>
            <family val="2"/>
          </rPr>
          <t>Junhan Liu:</t>
        </r>
        <r>
          <rPr>
            <sz val="9"/>
            <color indexed="81"/>
            <rFont val="Tahoma"/>
            <family val="2"/>
          </rPr>
          <t xml:space="preserve">
or</t>
        </r>
      </text>
    </comment>
    <comment ref="R71" authorId="4" shapeId="0" xr:uid="{381A5E6C-B189-4D90-ACF4-36854D7221D0}">
      <text>
        <r>
          <rPr>
            <b/>
            <sz val="9"/>
            <color indexed="81"/>
            <rFont val="Tahoma"/>
            <family val="2"/>
          </rPr>
          <t>Junhan Liu:</t>
        </r>
        <r>
          <rPr>
            <sz val="9"/>
            <color indexed="81"/>
            <rFont val="Tahoma"/>
            <family val="2"/>
          </rPr>
          <t xml:space="preserve">
or</t>
        </r>
      </text>
    </comment>
    <comment ref="CT87" authorId="3" shapeId="0" xr:uid="{C9B9BAA0-47B8-4075-A674-E45CB00CDF4D}">
      <text>
        <r>
          <rPr>
            <b/>
            <sz val="9"/>
            <color indexed="81"/>
            <rFont val="Tahoma"/>
            <family val="2"/>
          </rPr>
          <t>Chen He:</t>
        </r>
        <r>
          <rPr>
            <sz val="9"/>
            <color indexed="81"/>
            <rFont val="Tahoma"/>
            <family val="2"/>
          </rPr>
          <t xml:space="preserve">
Drug model</t>
        </r>
      </text>
    </comment>
    <comment ref="R93" authorId="4" shapeId="0" xr:uid="{608CA6B0-3541-418F-897C-93F155D6B73F}">
      <text>
        <r>
          <rPr>
            <b/>
            <sz val="9"/>
            <color indexed="81"/>
            <rFont val="Tahoma"/>
            <family val="2"/>
          </rPr>
          <t>Junhan Liu:</t>
        </r>
        <r>
          <rPr>
            <sz val="9"/>
            <color indexed="81"/>
            <rFont val="Tahoma"/>
            <family val="2"/>
          </rPr>
          <t xml:space="preserve">
or</t>
        </r>
      </text>
    </comment>
    <comment ref="R97" authorId="4" shapeId="0" xr:uid="{F85DE0FE-59AE-4A8F-95B0-5C499054417C}">
      <text>
        <r>
          <rPr>
            <b/>
            <sz val="9"/>
            <color indexed="81"/>
            <rFont val="Tahoma"/>
            <family val="2"/>
          </rPr>
          <t>Junhan Liu:</t>
        </r>
        <r>
          <rPr>
            <sz val="9"/>
            <color indexed="81"/>
            <rFont val="Tahoma"/>
            <family val="2"/>
          </rPr>
          <t xml:space="preserve">
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Ed Kim</author>
    <author>Christina Kwon</author>
    <author>edkim</author>
    <author>Anastasiya Shor</author>
  </authors>
  <commentList>
    <comment ref="A8" authorId="0" shapeId="0" xr:uid="{472B4B59-6666-4009-9C35-108075568C57}">
      <text>
        <r>
          <rPr>
            <b/>
            <sz val="9"/>
            <color indexed="81"/>
            <rFont val="Tahoma"/>
            <family val="2"/>
          </rPr>
          <t>Ed Kim:</t>
        </r>
        <r>
          <rPr>
            <sz val="9"/>
            <color indexed="81"/>
            <rFont val="Tahoma"/>
            <family val="2"/>
          </rPr>
          <t xml:space="preserve">
Studies from Bibliographic Search</t>
        </r>
      </text>
    </comment>
    <comment ref="A18" authorId="1" shapeId="0" xr:uid="{4FA046CF-A473-41DF-9B0B-3B98B62027A6}">
      <text>
        <r>
          <rPr>
            <b/>
            <sz val="9"/>
            <color indexed="81"/>
            <rFont val="Tahoma"/>
            <family val="2"/>
          </rPr>
          <t>Christina Kwon:</t>
        </r>
        <r>
          <rPr>
            <sz val="9"/>
            <color indexed="81"/>
            <rFont val="Tahoma"/>
            <family val="2"/>
          </rPr>
          <t xml:space="preserve">
From bibliographic search</t>
        </r>
      </text>
    </comment>
    <comment ref="A21" authorId="2" shapeId="0" xr:uid="{898C9CCC-C32B-4876-88AD-21568D06572E}">
      <text>
        <r>
          <rPr>
            <b/>
            <sz val="9"/>
            <color indexed="81"/>
            <rFont val="Tahoma"/>
            <family val="2"/>
          </rPr>
          <t>edkim:</t>
        </r>
        <r>
          <rPr>
            <sz val="9"/>
            <color indexed="81"/>
            <rFont val="Tahoma"/>
            <family val="2"/>
          </rPr>
          <t xml:space="preserve">
bib added by Pfizer</t>
        </r>
      </text>
    </comment>
    <comment ref="A22" authorId="1" shapeId="0" xr:uid="{E7701BE7-222B-4D5C-9C14-603F8767BF41}">
      <text>
        <r>
          <rPr>
            <b/>
            <sz val="9"/>
            <color indexed="81"/>
            <rFont val="Tahoma"/>
            <family val="2"/>
          </rPr>
          <t>Christina Kwon:</t>
        </r>
        <r>
          <rPr>
            <sz val="9"/>
            <color indexed="81"/>
            <rFont val="Tahoma"/>
            <family val="2"/>
          </rPr>
          <t xml:space="preserve">
From bibliographic search</t>
        </r>
      </text>
    </comment>
    <comment ref="E27" authorId="0" shapeId="0" xr:uid="{87B4FF9B-B722-4A0F-9DB5-89C262DE381F}">
      <text>
        <r>
          <rPr>
            <b/>
            <sz val="9"/>
            <color indexed="81"/>
            <rFont val="Tahoma"/>
            <family val="2"/>
          </rPr>
          <t>Ed Kim:</t>
        </r>
        <r>
          <rPr>
            <sz val="9"/>
            <color indexed="81"/>
            <rFont val="Tahoma"/>
            <family val="2"/>
          </rPr>
          <t xml:space="preserve">
added from congress review</t>
        </r>
      </text>
    </comment>
    <comment ref="A42" authorId="1" shapeId="0" xr:uid="{084986C4-93A2-43F8-80FF-5DB50E5BD827}">
      <text>
        <r>
          <rPr>
            <b/>
            <sz val="9"/>
            <color indexed="81"/>
            <rFont val="Tahoma"/>
            <family val="2"/>
          </rPr>
          <t>Christina Kwon:</t>
        </r>
        <r>
          <rPr>
            <sz val="9"/>
            <color indexed="81"/>
            <rFont val="Tahoma"/>
            <family val="2"/>
          </rPr>
          <t xml:space="preserve">
From SLR (Yun ClinEpigenetics 2016)</t>
        </r>
      </text>
    </comment>
    <comment ref="A47" authorId="0" shapeId="0" xr:uid="{31DE1B0F-D972-445A-AFAC-5CBA201F84CA}">
      <text>
        <r>
          <rPr>
            <b/>
            <sz val="9"/>
            <color indexed="81"/>
            <rFont val="Tahoma"/>
            <family val="2"/>
          </rPr>
          <t>Ed Kim:</t>
        </r>
        <r>
          <rPr>
            <sz val="9"/>
            <color indexed="81"/>
            <rFont val="Tahoma"/>
            <family val="2"/>
          </rPr>
          <t xml:space="preserve">
added from congress review
</t>
        </r>
      </text>
    </comment>
    <comment ref="A61" authorId="1" shapeId="0" xr:uid="{7A2A5DEE-8A6D-4BDA-BFC7-9E74CE0B2513}">
      <text>
        <r>
          <rPr>
            <b/>
            <sz val="9"/>
            <color indexed="81"/>
            <rFont val="Tahoma"/>
            <family val="2"/>
          </rPr>
          <t>Christina Kwon:</t>
        </r>
        <r>
          <rPr>
            <sz val="9"/>
            <color indexed="81"/>
            <rFont val="Tahoma"/>
            <family val="2"/>
          </rPr>
          <t xml:space="preserve">
From bibliographic search</t>
        </r>
      </text>
    </comment>
    <comment ref="A62" authorId="0" shapeId="0" xr:uid="{F4B6F0E0-6C83-4442-B53E-D6C74AFE1ADB}">
      <text>
        <r>
          <rPr>
            <b/>
            <sz val="9"/>
            <color indexed="81"/>
            <rFont val="Tahoma"/>
            <family val="2"/>
          </rPr>
          <t>Ed Kim:</t>
        </r>
        <r>
          <rPr>
            <sz val="9"/>
            <color indexed="81"/>
            <rFont val="Tahoma"/>
            <family val="2"/>
          </rPr>
          <t xml:space="preserve">
added from congress search</t>
        </r>
      </text>
    </comment>
    <comment ref="A69" authorId="1" shapeId="0" xr:uid="{A79A6A5E-F1CF-4796-87E6-7DCEFBDF9FFA}">
      <text>
        <r>
          <rPr>
            <b/>
            <sz val="9"/>
            <color indexed="81"/>
            <rFont val="Tahoma"/>
            <family val="2"/>
          </rPr>
          <t>Christina Kwon:</t>
        </r>
        <r>
          <rPr>
            <sz val="9"/>
            <color indexed="81"/>
            <rFont val="Tahoma"/>
            <family val="2"/>
          </rPr>
          <t xml:space="preserve">
From bibliographic search</t>
        </r>
      </text>
    </comment>
    <comment ref="A75" authorId="1" shapeId="0" xr:uid="{8E07C264-FDEC-4309-8294-BB23B457AECD}">
      <text>
        <r>
          <rPr>
            <b/>
            <sz val="9"/>
            <color indexed="81"/>
            <rFont val="Tahoma"/>
            <family val="2"/>
          </rPr>
          <t>Christina Kwon:</t>
        </r>
        <r>
          <rPr>
            <sz val="9"/>
            <color indexed="81"/>
            <rFont val="Tahoma"/>
            <family val="2"/>
          </rPr>
          <t xml:space="preserve">
From congress search</t>
        </r>
      </text>
    </comment>
    <comment ref="E81" authorId="3" shapeId="0" xr:uid="{84313595-9D13-4EC8-B3A8-C693F2ABD42D}">
      <text>
        <r>
          <rPr>
            <b/>
            <sz val="9"/>
            <color indexed="81"/>
            <rFont val="Tahoma"/>
            <family val="2"/>
          </rPr>
          <t>Anastasiya Shor:</t>
        </r>
        <r>
          <rPr>
            <sz val="9"/>
            <color indexed="81"/>
            <rFont val="Tahoma"/>
            <family val="2"/>
          </rPr>
          <t xml:space="preserve">
This paper elaborates on  Montalban_Blood _2016 (abstract) picked up in 2017 SLR.
</t>
        </r>
      </text>
    </comment>
    <comment ref="A90" authorId="1" shapeId="0" xr:uid="{6916C637-5162-4D2B-AD9F-4FF4DF0EE850}">
      <text>
        <r>
          <rPr>
            <b/>
            <sz val="9"/>
            <color indexed="81"/>
            <rFont val="Tahoma"/>
            <family val="2"/>
          </rPr>
          <t>Christina Kwon:</t>
        </r>
        <r>
          <rPr>
            <sz val="9"/>
            <color indexed="81"/>
            <rFont val="Tahoma"/>
            <family val="2"/>
          </rPr>
          <t xml:space="preserve">
From SLR-RCT
</t>
        </r>
      </text>
    </comment>
    <comment ref="A91" authorId="1" shapeId="0" xr:uid="{BD887339-1DD0-407B-A3BC-18441A1A8892}">
      <text>
        <r>
          <rPr>
            <b/>
            <sz val="9"/>
            <color indexed="81"/>
            <rFont val="Tahoma"/>
            <family val="2"/>
          </rPr>
          <t>Christina Kwon:</t>
        </r>
        <r>
          <rPr>
            <sz val="9"/>
            <color indexed="81"/>
            <rFont val="Tahoma"/>
            <family val="2"/>
          </rPr>
          <t xml:space="preserve">
From bibliographic search</t>
        </r>
      </text>
    </comment>
    <comment ref="A94" authorId="1" shapeId="0" xr:uid="{2874C32D-CD69-4033-9417-1693E42C217B}">
      <text>
        <r>
          <rPr>
            <b/>
            <sz val="9"/>
            <color indexed="81"/>
            <rFont val="Tahoma"/>
            <family val="2"/>
          </rPr>
          <t>Christina Kwon:</t>
        </r>
        <r>
          <rPr>
            <sz val="9"/>
            <color indexed="81"/>
            <rFont val="Tahoma"/>
            <family val="2"/>
          </rPr>
          <t xml:space="preserve">
From congress review</t>
        </r>
      </text>
    </comment>
    <comment ref="A104" authorId="1" shapeId="0" xr:uid="{4D51B1B6-DAFD-4C3C-AFB3-596A8D9DF8B7}">
      <text>
        <r>
          <rPr>
            <b/>
            <sz val="9"/>
            <color indexed="81"/>
            <rFont val="Tahoma"/>
            <family val="2"/>
          </rPr>
          <t>Christina Kwon:</t>
        </r>
        <r>
          <rPr>
            <sz val="9"/>
            <color indexed="81"/>
            <rFont val="Tahoma"/>
            <family val="2"/>
          </rPr>
          <t xml:space="preserve">
From SLR-QoL</t>
        </r>
      </text>
    </comment>
    <comment ref="A106" authorId="1" shapeId="0" xr:uid="{B5054DB4-6D29-4966-A85D-74E70210834A}">
      <text>
        <r>
          <rPr>
            <b/>
            <sz val="9"/>
            <color indexed="81"/>
            <rFont val="Tahoma"/>
            <family val="2"/>
          </rPr>
          <t>Christina Kwon:</t>
        </r>
        <r>
          <rPr>
            <sz val="9"/>
            <color indexed="81"/>
            <rFont val="Tahoma"/>
            <family val="2"/>
          </rPr>
          <t xml:space="preserve">
From SLR-RCT
</t>
        </r>
      </text>
    </comment>
    <comment ref="A107" authorId="0" shapeId="0" xr:uid="{D239AE5C-D5C8-4573-B8CD-FBC71D3C4AD5}">
      <text>
        <r>
          <rPr>
            <b/>
            <sz val="9"/>
            <color indexed="81"/>
            <rFont val="Tahoma"/>
            <family val="2"/>
          </rPr>
          <t>Ed Kim:</t>
        </r>
        <r>
          <rPr>
            <sz val="9"/>
            <color indexed="81"/>
            <rFont val="Tahoma"/>
            <family val="2"/>
          </rPr>
          <t xml:space="preserve">
it was marked as 2018 but it's 2017</t>
        </r>
      </text>
    </comment>
    <comment ref="A126" authorId="1" shapeId="0" xr:uid="{7A79527F-1522-41F8-A7BB-E654F886A0C0}">
      <text>
        <r>
          <rPr>
            <b/>
            <sz val="9"/>
            <color indexed="81"/>
            <rFont val="Tahoma"/>
            <family val="2"/>
          </rPr>
          <t>Christina Kwon:</t>
        </r>
        <r>
          <rPr>
            <sz val="9"/>
            <color indexed="81"/>
            <rFont val="Tahoma"/>
            <family val="2"/>
          </rPr>
          <t xml:space="preserve">
From bibliographic search</t>
        </r>
      </text>
    </comment>
    <comment ref="A127" authorId="0" shapeId="0" xr:uid="{94FDE925-D846-4A59-ABC5-AA1E4F4E5857}">
      <text>
        <r>
          <rPr>
            <b/>
            <sz val="9"/>
            <color indexed="81"/>
            <rFont val="Tahoma"/>
            <family val="2"/>
          </rPr>
          <t>Ed Kim:</t>
        </r>
        <r>
          <rPr>
            <sz val="9"/>
            <color indexed="81"/>
            <rFont val="Tahoma"/>
            <family val="2"/>
          </rPr>
          <t xml:space="preserve">
added from congress</t>
        </r>
      </text>
    </comment>
    <comment ref="A129" authorId="1" shapeId="0" xr:uid="{A6D9429B-7256-47EF-929E-69D9BBC0C418}">
      <text>
        <r>
          <rPr>
            <b/>
            <sz val="9"/>
            <color indexed="81"/>
            <rFont val="Tahoma"/>
            <family val="2"/>
          </rPr>
          <t>Christina Kwon:</t>
        </r>
        <r>
          <rPr>
            <sz val="9"/>
            <color indexed="81"/>
            <rFont val="Tahoma"/>
            <family val="2"/>
          </rPr>
          <t xml:space="preserve">
From SLR (Deschler Haematol 2006)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edkim</author>
  </authors>
  <commentList>
    <comment ref="D12" authorId="0" shapeId="0" xr:uid="{941BFC56-1E07-4CE1-832D-AAEF1CFA2ED3}">
      <text>
        <r>
          <rPr>
            <sz val="10"/>
            <color rgb="FF000000"/>
            <rFont val="Arial"/>
            <family val="2"/>
          </rPr>
          <t>Registry
	-Bob Chang</t>
        </r>
      </text>
    </comment>
    <comment ref="D13" authorId="1" shapeId="0" xr:uid="{8D535365-4E9B-4BE6-AF2F-88C7D200D5A7}">
      <text>
        <r>
          <rPr>
            <b/>
            <sz val="9"/>
            <color indexed="81"/>
            <rFont val="Tahoma"/>
            <family val="2"/>
          </rPr>
          <t>edkim:</t>
        </r>
        <r>
          <rPr>
            <sz val="9"/>
            <color indexed="81"/>
            <rFont val="Tahoma"/>
            <family val="2"/>
          </rPr>
          <t xml:space="preserve">
compassionate program</t>
        </r>
      </text>
    </comment>
    <comment ref="D14" authorId="1" shapeId="0" xr:uid="{0DE6D219-BC55-4188-A342-AC83D19C4DDF}">
      <text>
        <r>
          <rPr>
            <b/>
            <sz val="9"/>
            <color indexed="81"/>
            <rFont val="Tahoma"/>
            <family val="2"/>
          </rPr>
          <t>edkim:</t>
        </r>
        <r>
          <rPr>
            <sz val="9"/>
            <color indexed="81"/>
            <rFont val="Tahoma"/>
            <family val="2"/>
          </rPr>
          <t xml:space="preserve">
survey</t>
        </r>
      </text>
    </comment>
    <comment ref="AX15" authorId="1" shapeId="0" xr:uid="{68D73AD0-F844-49D1-9619-7AAD73010B99}">
      <text>
        <r>
          <rPr>
            <b/>
            <sz val="9"/>
            <color indexed="81"/>
            <rFont val="Tahoma"/>
            <family val="2"/>
          </rPr>
          <t>edkim:</t>
        </r>
        <r>
          <rPr>
            <sz val="9"/>
            <color indexed="81"/>
            <rFont val="Tahoma"/>
            <family val="2"/>
          </rPr>
          <t xml:space="preserve">
complete response in 5% of patients, a hematological improvement (HI) in 22% of patients, a stable disease (SD) in 39% of patients and a lack of response in 33% of patients</t>
        </r>
      </text>
    </comment>
    <comment ref="R17" authorId="1" shapeId="0" xr:uid="{A2E3E2E3-390F-47D4-B707-EFC09EAA9105}">
      <text>
        <r>
          <rPr>
            <b/>
            <sz val="9"/>
            <color indexed="81"/>
            <rFont val="Tahoma"/>
            <family val="2"/>
          </rPr>
          <t>edkim:</t>
        </r>
        <r>
          <rPr>
            <sz val="9"/>
            <color indexed="81"/>
            <rFont val="Tahoma"/>
            <family val="2"/>
          </rPr>
          <t xml:space="preserve">
"treatment-related"</t>
        </r>
      </text>
    </comment>
    <comment ref="AO17" authorId="1" shapeId="0" xr:uid="{BF62F30B-1E70-4E86-B83F-FD75FDC2CB87}">
      <text>
        <r>
          <rPr>
            <b/>
            <sz val="9"/>
            <color indexed="81"/>
            <rFont val="Tahoma"/>
            <family val="2"/>
          </rPr>
          <t>edkim:</t>
        </r>
        <r>
          <rPr>
            <sz val="9"/>
            <color indexed="81"/>
            <rFont val="Tahoma"/>
            <family val="2"/>
          </rPr>
          <t xml:space="preserve">
(30.9*12+16.8*22)/(12+22) for RCMD + RAEB</t>
        </r>
      </text>
    </comment>
    <comment ref="D18" authorId="1" shapeId="0" xr:uid="{6479A2E5-C958-4CE4-ADD5-CEC15769BE38}">
      <text>
        <r>
          <rPr>
            <b/>
            <sz val="9"/>
            <color indexed="81"/>
            <rFont val="Tahoma"/>
            <family val="2"/>
          </rPr>
          <t>edkim:</t>
        </r>
        <r>
          <rPr>
            <sz val="9"/>
            <color indexed="81"/>
            <rFont val="Tahoma"/>
            <family val="2"/>
          </rPr>
          <t xml:space="preserve">
Phase 4</t>
        </r>
      </text>
    </comment>
    <comment ref="A20" authorId="1" shapeId="0" xr:uid="{F4FF0356-BE1D-47A9-87B7-BB36F789FAEF}">
      <text>
        <r>
          <rPr>
            <b/>
            <sz val="9"/>
            <color indexed="81"/>
            <rFont val="Tahoma"/>
            <family val="2"/>
          </rPr>
          <t>edkim:</t>
        </r>
        <r>
          <rPr>
            <sz val="9"/>
            <color indexed="81"/>
            <rFont val="Tahoma"/>
            <family val="2"/>
          </rPr>
          <t xml:space="preserve">
extracted for low blast and high blast AML separately</t>
        </r>
      </text>
    </comment>
    <comment ref="D25" authorId="0" shapeId="0" xr:uid="{7D812032-E6A2-4C12-A066-DAA16483EDDA}">
      <text>
        <r>
          <rPr>
            <sz val="10"/>
            <color rgb="FF000000"/>
            <rFont val="Arial"/>
            <family val="2"/>
          </rPr>
          <t>No mention of retrospective or prospective, not sure if a healthcare network is singe center
	-Bob Chang</t>
        </r>
      </text>
    </comment>
    <comment ref="J25" authorId="0" shapeId="0" xr:uid="{B968F9FC-A259-4436-B7B6-10CD351789A1}">
      <text>
        <r>
          <rPr>
            <sz val="10"/>
            <color rgb="FF000000"/>
            <rFont val="Arial"/>
            <family val="2"/>
          </rPr>
          <t>Rest recieved IC or BSC
	-Bob Chang
95/334 pts by relevance</t>
        </r>
      </text>
    </comment>
    <comment ref="K25" authorId="0" shapeId="0" xr:uid="{75EAE0F3-AE6B-4A8A-AE65-547053D4E76B}">
      <text>
        <r>
          <rPr>
            <sz val="10"/>
            <color rgb="FF000000"/>
            <rFont val="Arial"/>
            <family val="2"/>
          </rPr>
          <t>Rest recieved IC or BSC
	-Bob Chang
95/334 pts by relevance</t>
        </r>
      </text>
    </comment>
    <comment ref="J29" authorId="1" shapeId="0" xr:uid="{C4BB6781-ABBB-4C3C-BE2C-3FC702C27712}">
      <text>
        <r>
          <rPr>
            <b/>
            <sz val="9"/>
            <color indexed="81"/>
            <rFont val="Tahoma"/>
            <family val="2"/>
          </rPr>
          <t>edkim:</t>
        </r>
        <r>
          <rPr>
            <sz val="9"/>
            <color indexed="81"/>
            <rFont val="Tahoma"/>
            <family val="2"/>
          </rPr>
          <t xml:space="preserve">
AZA arm only</t>
        </r>
      </text>
    </comment>
    <comment ref="Z29" authorId="1" shapeId="0" xr:uid="{BD26E548-A28F-4BE9-9AB9-1A1EE09FDBFC}">
      <text>
        <r>
          <rPr>
            <b/>
            <sz val="9"/>
            <color indexed="81"/>
            <rFont val="Tahoma"/>
            <family val="2"/>
          </rPr>
          <t>edkim:</t>
        </r>
        <r>
          <rPr>
            <sz val="9"/>
            <color indexed="81"/>
            <rFont val="Tahoma"/>
            <family val="2"/>
          </rPr>
          <t xml:space="preserve">
AZA arm only</t>
        </r>
      </text>
    </comment>
    <comment ref="AG29" authorId="1" shapeId="0" xr:uid="{C4EE3769-6A45-4D08-922C-2E525D978F07}">
      <text>
        <r>
          <rPr>
            <b/>
            <sz val="9"/>
            <color indexed="81"/>
            <rFont val="Tahoma"/>
            <family val="2"/>
          </rPr>
          <t>edkim:</t>
        </r>
        <r>
          <rPr>
            <sz val="9"/>
            <color indexed="81"/>
            <rFont val="Tahoma"/>
            <family val="2"/>
          </rPr>
          <t xml:space="preserve">
AZA arm only</t>
        </r>
      </text>
    </comment>
    <comment ref="AU29" authorId="1" shapeId="0" xr:uid="{9131F8C8-F269-443A-9743-32F5A83A6F48}">
      <text>
        <r>
          <rPr>
            <b/>
            <sz val="9"/>
            <color indexed="81"/>
            <rFont val="Tahoma"/>
            <family val="2"/>
          </rPr>
          <t>edkim:</t>
        </r>
        <r>
          <rPr>
            <sz val="9"/>
            <color indexed="81"/>
            <rFont val="Tahoma"/>
            <family val="2"/>
          </rPr>
          <t xml:space="preserve">
AZA arm only</t>
        </r>
      </text>
    </comment>
    <comment ref="J30" authorId="1" shapeId="0" xr:uid="{C40E6BA1-1E8F-4F1A-9DF6-C406F33BDEA0}">
      <text>
        <r>
          <rPr>
            <b/>
            <sz val="9"/>
            <color indexed="81"/>
            <rFont val="Tahoma"/>
            <family val="2"/>
          </rPr>
          <t>edkim:</t>
        </r>
        <r>
          <rPr>
            <sz val="9"/>
            <color indexed="81"/>
            <rFont val="Tahoma"/>
            <family val="2"/>
          </rPr>
          <t xml:space="preserve">
AZA arm only</t>
        </r>
      </text>
    </comment>
    <comment ref="S30" authorId="1" shapeId="0" xr:uid="{73DE963D-B8B5-449A-83FA-D722ECD55C8B}">
      <text>
        <r>
          <rPr>
            <b/>
            <sz val="9"/>
            <color indexed="81"/>
            <rFont val="Tahoma"/>
            <family val="2"/>
          </rPr>
          <t>edkim:</t>
        </r>
        <r>
          <rPr>
            <sz val="9"/>
            <color indexed="81"/>
            <rFont val="Tahoma"/>
            <family val="2"/>
          </rPr>
          <t xml:space="preserve">
&gt;= 30% 45% AND &lt;30% 55%</t>
        </r>
      </text>
    </comment>
    <comment ref="AU30" authorId="1" shapeId="0" xr:uid="{89F0D4AE-DE56-4EE5-B43F-F3D7C0BDFDCB}">
      <text>
        <r>
          <rPr>
            <b/>
            <sz val="9"/>
            <color indexed="81"/>
            <rFont val="Tahoma"/>
            <family val="2"/>
          </rPr>
          <t>edkim:</t>
        </r>
        <r>
          <rPr>
            <sz val="9"/>
            <color indexed="81"/>
            <rFont val="Tahoma"/>
            <family val="2"/>
          </rPr>
          <t xml:space="preserve">
AZA arm only</t>
        </r>
      </text>
    </comment>
    <comment ref="AW30" authorId="1" shapeId="0" xr:uid="{73C450AF-04F7-4A8E-AFAB-D56520FF7F66}">
      <text>
        <r>
          <rPr>
            <b/>
            <sz val="9"/>
            <color indexed="81"/>
            <rFont val="Tahoma"/>
            <family val="2"/>
          </rPr>
          <t>edkim:</t>
        </r>
        <r>
          <rPr>
            <sz val="9"/>
            <color indexed="81"/>
            <rFont val="Tahoma"/>
            <family val="2"/>
          </rPr>
          <t xml:space="preserve">
AZA arm only</t>
        </r>
      </text>
    </comment>
    <comment ref="A33" authorId="1" shapeId="0" xr:uid="{B86CE052-B87B-4BEA-A03C-83A3508235A9}">
      <text>
        <r>
          <rPr>
            <b/>
            <sz val="9"/>
            <color indexed="81"/>
            <rFont val="Tahoma"/>
            <family val="2"/>
          </rPr>
          <t>edkim:</t>
        </r>
        <r>
          <rPr>
            <sz val="9"/>
            <color indexed="81"/>
            <rFont val="Tahoma"/>
            <family val="2"/>
          </rPr>
          <t xml:space="preserve">
extracted for low blast and high blast AML separately</t>
        </r>
      </text>
    </comment>
    <comment ref="D33" authorId="0" shapeId="0" xr:uid="{D24B817C-E906-41A1-BF66-5628654CEDDA}">
      <text>
        <r>
          <rPr>
            <sz val="10"/>
            <color rgb="FF000000"/>
            <rFont val="Arial"/>
            <family val="2"/>
          </rPr>
          <t>Registry
	-Bob Chang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Ed</author>
    <author>Ed Kim</author>
    <author>Anastasiya Shor</author>
    <author>Christina Kwon</author>
    <author>edkim</author>
  </authors>
  <commentList>
    <comment ref="A6" authorId="0" shapeId="0" xr:uid="{00000000-0006-0000-0D00-000001000000}">
      <text>
        <r>
          <rPr>
            <b/>
            <sz val="9"/>
            <color indexed="81"/>
            <rFont val="Tahoma"/>
            <family val="2"/>
          </rPr>
          <t>Ed:</t>
        </r>
        <r>
          <rPr>
            <sz val="9"/>
            <color indexed="81"/>
            <rFont val="Tahoma"/>
            <family val="2"/>
          </rPr>
          <t xml:space="preserve">
Conference PPT used</t>
        </r>
      </text>
    </comment>
    <comment ref="A8" authorId="1" shapeId="0" xr:uid="{7CCE0B3D-75A9-4180-8584-17F6A90066AE}">
      <text>
        <r>
          <rPr>
            <b/>
            <sz val="9"/>
            <color indexed="81"/>
            <rFont val="Tahoma"/>
            <family val="2"/>
          </rPr>
          <t>Ed Kim:</t>
        </r>
        <r>
          <rPr>
            <sz val="9"/>
            <color indexed="81"/>
            <rFont val="Tahoma"/>
            <family val="2"/>
          </rPr>
          <t xml:space="preserve">
added from bib search of Tremblay_VH_2017 (abstract)</t>
        </r>
      </text>
    </comment>
    <comment ref="M19" authorId="2" shapeId="0" xr:uid="{00000000-0006-0000-0D00-000003000000}">
      <text>
        <r>
          <rPr>
            <sz val="9"/>
            <color indexed="81"/>
            <rFont val="Tahoma"/>
            <family val="2"/>
          </rPr>
          <t xml:space="preserve">                                                                                                                                                                                                                                                                                                                                                                                                                                         
                                                                                                                                                                                                                                                                                                                                                                                                                                         </t>
        </r>
      </text>
    </comment>
    <comment ref="O19" authorId="2" shapeId="0" xr:uid="{00000000-0006-0000-0D00-000004000000}">
      <text>
        <r>
          <rPr>
            <sz val="9"/>
            <color indexed="81"/>
            <rFont val="Tahoma"/>
            <family val="2"/>
          </rPr>
          <t xml:space="preserve">                                                                                                                                                                                                                                                                                                                                                                                  </t>
        </r>
      </text>
    </comment>
    <comment ref="M21" authorId="2" shapeId="0" xr:uid="{00000000-0006-0000-0D00-000005000000}">
      <text>
        <r>
          <rPr>
            <sz val="10"/>
            <rFont val="Arial"/>
            <family val="2"/>
          </rPr>
          <t xml:space="preserve">                                                                                                                                                                                                                                                                  
                                                                                                                                                                                                                                                                 </t>
        </r>
      </text>
    </comment>
    <comment ref="O21" authorId="2" shapeId="0" xr:uid="{00000000-0006-0000-0D00-000006000000}">
      <text>
        <r>
          <rPr>
            <sz val="10"/>
            <rFont val="Arial"/>
            <family val="2"/>
          </rPr>
          <t xml:space="preserve">                                                                                                                                                                                                        
                                                                                                                                                                                                        </t>
        </r>
      </text>
    </comment>
    <comment ref="M22" authorId="2" shapeId="0" xr:uid="{00968432-0512-4473-A838-3D9EF10ED648}">
      <text>
        <r>
          <rPr>
            <sz val="10"/>
            <rFont val="Arial"/>
            <family val="2"/>
          </rPr>
          <t xml:space="preserve">                                                                                                                                                                                                                                                                
                                                                                                                                                                                                                                                                </t>
        </r>
      </text>
    </comment>
    <comment ref="O29" authorId="3" shapeId="0" xr:uid="{00000000-0006-0000-0D00-000002000000}">
      <text>
        <r>
          <rPr>
            <sz val="10"/>
            <rFont val="Arial"/>
            <family val="2"/>
          </rPr>
          <t xml:space="preserve">                                                                                                                                                                                                                                                                                                                                 
                                                                                                                                                                                                                                                                                                                                 </t>
        </r>
      </text>
    </comment>
    <comment ref="F32" authorId="1" shapeId="0" xr:uid="{E5D3A1DD-BCA0-42EF-9526-30128F3D46FB}">
      <text>
        <r>
          <rPr>
            <b/>
            <sz val="9"/>
            <color indexed="81"/>
            <rFont val="Tahoma"/>
            <family val="2"/>
          </rPr>
          <t>Ed Kim:</t>
        </r>
        <r>
          <rPr>
            <sz val="9"/>
            <color indexed="81"/>
            <rFont val="Tahoma"/>
            <family val="2"/>
          </rPr>
          <t xml:space="preserve">
includes R/R patients as well</t>
        </r>
      </text>
    </comment>
    <comment ref="M40" authorId="2" shapeId="0" xr:uid="{00000000-0006-0000-0D00-000008000000}">
      <text>
        <r>
          <rPr>
            <sz val="9"/>
            <color indexed="81"/>
            <rFont val="Tahoma"/>
            <family val="2"/>
          </rPr>
          <t xml:space="preserve">                                                                                                                                                                                                                                                                                                                      
                                                                                                                                                                                                                                                                                                                      </t>
        </r>
      </text>
    </comment>
    <comment ref="A45" authorId="4" shapeId="0" xr:uid="{71F83B64-E0C1-4857-B234-6CE454236D3E}">
      <text>
        <r>
          <rPr>
            <b/>
            <sz val="9"/>
            <color indexed="81"/>
            <rFont val="Tahoma"/>
            <family val="2"/>
          </rPr>
          <t>edkim:</t>
        </r>
        <r>
          <rPr>
            <sz val="9"/>
            <color indexed="81"/>
            <rFont val="Tahoma"/>
            <family val="2"/>
          </rPr>
          <t xml:space="preserve">
bib added by Pfizer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Ed</author>
    <author>Anastasiya Shor</author>
    <author>Christina Kwon</author>
    <author>Ed Kim</author>
  </authors>
  <commentList>
    <comment ref="K6" authorId="0" shapeId="0" xr:uid="{00000000-0006-0000-0A00-000001000000}">
      <text/>
    </comment>
    <comment ref="I10" authorId="1" shapeId="0" xr:uid="{00000000-0006-0000-0A00-000006000000}">
      <text>
        <r>
          <rPr>
            <sz val="9"/>
            <color indexed="81"/>
            <rFont val="Tahoma"/>
            <family val="2"/>
          </rPr>
          <t xml:space="preserve">
</t>
        </r>
      </text>
    </comment>
    <comment ref="K10" authorId="1" shapeId="0" xr:uid="{00000000-0006-0000-0A00-000007000000}">
      <text>
        <r>
          <rPr>
            <sz val="9"/>
            <color indexed="81"/>
            <rFont val="Tahoma"/>
            <family val="2"/>
          </rPr>
          <t xml:space="preserve">
</t>
        </r>
      </text>
    </comment>
    <comment ref="K15" authorId="2" shapeId="0" xr:uid="{00000000-0006-0000-0A00-000002000000}">
      <text/>
    </comment>
    <comment ref="K20" authorId="2" shapeId="0" xr:uid="{00000000-0006-0000-0A00-000003000000}">
      <text/>
    </comment>
    <comment ref="O20" authorId="2" shapeId="0" xr:uid="{00000000-0006-0000-0A00-000004000000}">
      <text>
        <r>
          <rPr>
            <sz val="9"/>
            <color indexed="81"/>
            <rFont val="Tahoma"/>
            <family val="2"/>
          </rPr>
          <t xml:space="preserve">
</t>
        </r>
      </text>
    </comment>
    <comment ref="O23" authorId="2" shapeId="0" xr:uid="{00000000-0006-0000-0A00-000005000000}">
      <text>
        <r>
          <rPr>
            <b/>
            <sz val="9"/>
            <color indexed="81"/>
            <rFont val="Tahoma"/>
            <family val="2"/>
          </rPr>
          <t>Christina Kwon:</t>
        </r>
        <r>
          <rPr>
            <sz val="9"/>
            <color indexed="81"/>
            <rFont val="Tahoma"/>
            <family val="2"/>
          </rPr>
          <t xml:space="preserve">
Utilities were adapted from Kurosawa Bone Marrow Transplantation (2015) 1241 – 1249. The numbers are slightly different.
QOL estimates from EQ-5D:  Adjusted mean for Chemotherapy =  0.74; Adjusted mean for Allo-HCT - Overall= 0.73 / No GVHD=0.80 / with GVHD=0.65</t>
        </r>
      </text>
    </comment>
    <comment ref="E26" authorId="3" shapeId="0" xr:uid="{7836D544-B3E1-4E42-B159-047C5E634DB8}">
      <text>
        <r>
          <rPr>
            <b/>
            <sz val="9"/>
            <color rgb="FF000000"/>
            <rFont val="Tahoma"/>
            <family val="2"/>
          </rPr>
          <t>Ed Kim:</t>
        </r>
        <r>
          <rPr>
            <sz val="9"/>
            <color rgb="FF000000"/>
            <rFont val="Tahoma"/>
            <family val="2"/>
          </rPr>
          <t xml:space="preserve">
</t>
        </r>
        <r>
          <rPr>
            <sz val="9"/>
            <color rgb="FF000000"/>
            <rFont val="Tahoma"/>
            <family val="2"/>
          </rPr>
          <t>892 patients, 158 caregivers of living patients, and 122 caregivers of deceased patients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Anastasiya Shor</author>
    <author>Christina Kwon</author>
    <author>Ed Kim</author>
    <author>Christina Soeun Kwon</author>
    <author>Ed</author>
    <author>Denis</author>
    <author>Sam Nam</author>
    <author>Richard</author>
    <author>bach-</author>
    <author>khoin</author>
  </authors>
  <commentList>
    <comment ref="S2" authorId="0" shapeId="0" xr:uid="{1EA4C733-AE40-4F10-B795-7F2CE4CDBA11}">
      <text>
        <r>
          <rPr>
            <b/>
            <sz val="9"/>
            <color indexed="81"/>
            <rFont val="Tahoma"/>
            <family val="2"/>
          </rPr>
          <t>Anastasiya Shor: Cortes_Blood_2016 (Abstract)</t>
        </r>
        <r>
          <rPr>
            <sz val="9"/>
            <color indexed="81"/>
            <rFont val="Tahoma"/>
            <family val="2"/>
          </rPr>
          <t xml:space="preserve">
n=88 which includes both AML and MDS; 
AML only n=78, De Novo= 38 (48.7%), Secondary= 40 (51.3%)
MDS only n=10, De Novo=8 (80%), Seconday=2  (20%)</t>
        </r>
      </text>
    </comment>
    <comment ref="U2" authorId="0" shapeId="0" xr:uid="{B76F57A4-DAF7-4B2B-8EC7-8A15DC73CA0F}">
      <text>
        <r>
          <rPr>
            <b/>
            <sz val="9"/>
            <color indexed="81"/>
            <rFont val="Tahoma"/>
            <family val="2"/>
          </rPr>
          <t>Anastasiya Shor: Cortes_Blood_2016 (Abstract)</t>
        </r>
        <r>
          <rPr>
            <sz val="9"/>
            <color indexed="81"/>
            <rFont val="Tahoma"/>
            <family val="2"/>
          </rPr>
          <t xml:space="preserve">
n=84 which includes both AML and MDS; 
AML only n=75, 9.1 (6.4-14.0)
MDS only n=9, 9.0 (7.9-12.3)</t>
        </r>
      </text>
    </comment>
    <comment ref="AL2" authorId="1" shapeId="0" xr:uid="{973E0DFA-F0C1-4E88-BFF7-2D201D1D3B8D}">
      <text>
        <r>
          <rPr>
            <b/>
            <sz val="9"/>
            <color indexed="81"/>
            <rFont val="Tahoma"/>
            <family val="2"/>
          </rPr>
          <t>Christina Kwon:
Cortes_Blood_2016 (Abstract)</t>
        </r>
        <r>
          <rPr>
            <sz val="9"/>
            <color indexed="81"/>
            <rFont val="Tahoma"/>
            <family val="2"/>
          </rPr>
          <t xml:space="preserve">
from Cortes, et al. ppt</t>
        </r>
      </text>
    </comment>
    <comment ref="AO2" authorId="1" shapeId="0" xr:uid="{D05BDDBF-7B05-4C53-AABC-4969197E373C}">
      <text>
        <r>
          <rPr>
            <b/>
            <sz val="9"/>
            <color indexed="81"/>
            <rFont val="Tahoma"/>
            <family val="2"/>
          </rPr>
          <t>Christina Kwon:</t>
        </r>
        <r>
          <rPr>
            <sz val="9"/>
            <color indexed="81"/>
            <rFont val="Tahoma"/>
            <family val="2"/>
          </rPr>
          <t xml:space="preserve">
from Cortes et al. ppt</t>
        </r>
      </text>
    </comment>
    <comment ref="AW2" authorId="2" shapeId="0" xr:uid="{C1CF7DC2-8F97-45D2-95F0-67CA73EDBFF7}">
      <text>
        <r>
          <rPr>
            <b/>
            <sz val="9"/>
            <color indexed="81"/>
            <rFont val="Tahoma"/>
            <family val="2"/>
          </rPr>
          <t>Ed Kim:</t>
        </r>
        <r>
          <rPr>
            <sz val="9"/>
            <color indexed="81"/>
            <rFont val="Tahoma"/>
            <family val="2"/>
          </rPr>
          <t xml:space="preserve">
total grade3-4 AEs: 76 (86.4%)
</t>
        </r>
      </text>
    </comment>
    <comment ref="S3" authorId="0" shapeId="0" xr:uid="{BFF74560-67CB-4F6C-B8F2-2C6632BE1A20}">
      <text>
        <r>
          <rPr>
            <b/>
            <sz val="9"/>
            <color indexed="81"/>
            <rFont val="Tahoma"/>
            <family val="2"/>
          </rPr>
          <t>Anastasiya Shor:</t>
        </r>
        <r>
          <rPr>
            <sz val="9"/>
            <color indexed="81"/>
            <rFont val="Tahoma"/>
            <family val="2"/>
          </rPr>
          <t xml:space="preserve">
n=44 which includes both AML and MDS; 
AML only n=38, De Novo= 18 (47.4%), Secondary= 20 (52.6%) 
MDS only n=6, De nobo=4 (66.7%), Secondary= 2 (33.3%)</t>
        </r>
      </text>
    </comment>
    <comment ref="AW3" authorId="2" shapeId="0" xr:uid="{0325B366-D4F7-46BA-A418-2461BA70A9FA}">
      <text>
        <r>
          <rPr>
            <b/>
            <sz val="9"/>
            <color indexed="81"/>
            <rFont val="Tahoma"/>
            <family val="2"/>
          </rPr>
          <t>Ed Kim:</t>
        </r>
        <r>
          <rPr>
            <sz val="9"/>
            <color indexed="81"/>
            <rFont val="Tahoma"/>
            <family val="2"/>
          </rPr>
          <t xml:space="preserve">
total grade3-4 AEs: 39 (88.6%)</t>
        </r>
      </text>
    </comment>
    <comment ref="AB4" authorId="2" shapeId="0" xr:uid="{E6291B3D-FA1B-4ECC-99D2-1DC695CF71A0}">
      <text>
        <r>
          <rPr>
            <b/>
            <sz val="9"/>
            <color indexed="81"/>
            <rFont val="Tahoma"/>
            <family val="2"/>
          </rPr>
          <t>Ed Kim:</t>
        </r>
        <r>
          <rPr>
            <sz val="9"/>
            <color indexed="81"/>
            <rFont val="Tahoma"/>
            <family val="2"/>
          </rPr>
          <t xml:space="preserve">
mdian follow-up 43.4</t>
        </r>
      </text>
    </comment>
    <comment ref="AB5" authorId="2" shapeId="0" xr:uid="{DD0F7BC3-60DC-4353-A639-D5D135EC1E60}">
      <text>
        <r>
          <rPr>
            <b/>
            <sz val="9"/>
            <color indexed="81"/>
            <rFont val="Tahoma"/>
            <family val="2"/>
          </rPr>
          <t>Ed Kim:</t>
        </r>
        <r>
          <rPr>
            <sz val="9"/>
            <color indexed="81"/>
            <rFont val="Tahoma"/>
            <family val="2"/>
          </rPr>
          <t xml:space="preserve">
medial follow-up 42.0</t>
        </r>
      </text>
    </comment>
    <comment ref="E6" authorId="2" shapeId="0" xr:uid="{8A745FF4-6107-422C-A267-E07F9F07921E}">
      <text>
        <r>
          <rPr>
            <b/>
            <sz val="9"/>
            <color indexed="81"/>
            <rFont val="Tahoma"/>
            <family val="2"/>
          </rPr>
          <t>Ed Kim:</t>
        </r>
        <r>
          <rPr>
            <sz val="9"/>
            <color indexed="81"/>
            <rFont val="Tahoma"/>
            <family val="2"/>
          </rPr>
          <t xml:space="preserve">
CR = (defined as neutrophils ≥1000 μL, platelets ≥100000 μL, hemoglobin ≥11 g/dL [MDS only], with &lt; 5% bone marrow blasts</t>
        </r>
      </text>
    </comment>
    <comment ref="H6" authorId="2" shapeId="0" xr:uid="{90A12899-BA2A-49DF-B298-9395AE976D35}">
      <text>
        <r>
          <rPr>
            <b/>
            <sz val="9"/>
            <color indexed="81"/>
            <rFont val="Tahoma"/>
            <family val="2"/>
          </rPr>
          <t>Ed Kim:</t>
        </r>
        <r>
          <rPr>
            <sz val="9"/>
            <color indexed="81"/>
            <rFont val="Tahoma"/>
            <family val="2"/>
          </rPr>
          <t xml:space="preserve">
CR = (defined as neutrophils ≥1000 μL, platelets ≥100000 μL, hemoglobin ≥11 g/dL [MDS only], with &lt; 5% bone marrow blasts</t>
        </r>
      </text>
    </comment>
    <comment ref="V6" authorId="2" shapeId="0" xr:uid="{57A0A28B-1696-4A51-BF89-6D735505F64C}">
      <text>
        <r>
          <rPr>
            <b/>
            <sz val="9"/>
            <color indexed="81"/>
            <rFont val="Tahoma"/>
            <family val="2"/>
          </rPr>
          <t>Ed Kim:</t>
        </r>
        <r>
          <rPr>
            <sz val="9"/>
            <color indexed="81"/>
            <rFont val="Tahoma"/>
            <family val="2"/>
          </rPr>
          <t xml:space="preserve">
Assumed that no patient enrolled were PS3/4. total N - PS2 = PS0/1. in the study, only PS0/1/2 were mentioned. </t>
        </r>
      </text>
    </comment>
    <comment ref="AW6" authorId="2" shapeId="0" xr:uid="{2AA87700-7115-41D3-AF38-73892D93C50B}">
      <text>
        <r>
          <rPr>
            <b/>
            <sz val="9"/>
            <color indexed="81"/>
            <rFont val="Tahoma"/>
            <family val="2"/>
          </rPr>
          <t>Ed Kim:</t>
        </r>
        <r>
          <rPr>
            <sz val="9"/>
            <color indexed="81"/>
            <rFont val="Tahoma"/>
            <family val="2"/>
          </rPr>
          <t xml:space="preserve">
total grade3-4 AEs: 14 (93.3%)</t>
        </r>
      </text>
    </comment>
    <comment ref="V7" authorId="2" shapeId="0" xr:uid="{DEA4788E-C053-4CEA-9F11-7A488D22CCFA}">
      <text>
        <r>
          <rPr>
            <b/>
            <sz val="9"/>
            <color indexed="81"/>
            <rFont val="Tahoma"/>
            <family val="2"/>
          </rPr>
          <t>Ed Kim:</t>
        </r>
        <r>
          <rPr>
            <sz val="9"/>
            <color indexed="81"/>
            <rFont val="Tahoma"/>
            <family val="2"/>
          </rPr>
          <t xml:space="preserve">
Assumed that no patient enrolled were PS3/4. total N - PS2 = PS0/1. in the study, only PS0/1/2 were mentioned. </t>
        </r>
      </text>
    </comment>
    <comment ref="AW7" authorId="2" shapeId="0" xr:uid="{49032616-387B-40D8-885A-6A21562941C5}">
      <text>
        <r>
          <rPr>
            <b/>
            <sz val="9"/>
            <color indexed="81"/>
            <rFont val="Tahoma"/>
            <family val="2"/>
          </rPr>
          <t>Ed Kim:</t>
        </r>
        <r>
          <rPr>
            <sz val="9"/>
            <color indexed="81"/>
            <rFont val="Tahoma"/>
            <family val="2"/>
          </rPr>
          <t xml:space="preserve">
total grade3-4 AEs: 1 (100.0%)</t>
        </r>
      </text>
    </comment>
    <comment ref="E8" authorId="2" shapeId="0" xr:uid="{5FE0F5D0-2A60-42D5-A3CB-D3B917529B57}">
      <text>
        <r>
          <rPr>
            <b/>
            <sz val="9"/>
            <color indexed="81"/>
            <rFont val="Tahoma"/>
            <family val="2"/>
          </rPr>
          <t>Ed Kim:</t>
        </r>
        <r>
          <rPr>
            <sz val="9"/>
            <color indexed="81"/>
            <rFont val="Tahoma"/>
            <family val="2"/>
          </rPr>
          <t xml:space="preserve">
CR = (defined as neutrophils ≥1000 μL, platelets ≥100000 μL, hemoglobin ≥11 g/dL [MDS only], with &lt; 5% bone marrow blasts</t>
        </r>
      </text>
    </comment>
    <comment ref="H8" authorId="2" shapeId="0" xr:uid="{968A5470-25EC-4A35-BC9D-AEFAF4D6C362}">
      <text>
        <r>
          <rPr>
            <b/>
            <sz val="9"/>
            <color indexed="81"/>
            <rFont val="Tahoma"/>
            <family val="2"/>
          </rPr>
          <t>Ed Kim:</t>
        </r>
        <r>
          <rPr>
            <sz val="9"/>
            <color indexed="81"/>
            <rFont val="Tahoma"/>
            <family val="2"/>
          </rPr>
          <t xml:space="preserve">
CR = (defined as neutrophils ≥1000 μL, platelets ≥100000 μL, hemoglobin ≥11 g/dL [MDS only], with &lt; 5% bone marrow blasts</t>
        </r>
      </text>
    </comment>
    <comment ref="V8" authorId="2" shapeId="0" xr:uid="{A286C99F-CE13-4F22-838D-F3B97F0CF3A8}">
      <text>
        <r>
          <rPr>
            <b/>
            <sz val="9"/>
            <color indexed="81"/>
            <rFont val="Tahoma"/>
            <family val="2"/>
          </rPr>
          <t>Ed Kim:</t>
        </r>
        <r>
          <rPr>
            <sz val="9"/>
            <color indexed="81"/>
            <rFont val="Tahoma"/>
            <family val="2"/>
          </rPr>
          <t xml:space="preserve">
Assumed that no patient enrolled were PS3/4. total N - PS2 = PS0/1. in the study, only PS0/1/2 were mentioned. </t>
        </r>
      </text>
    </comment>
    <comment ref="AW8" authorId="2" shapeId="0" xr:uid="{6605D6F9-3EF8-46A3-937D-D28FA2D367C6}">
      <text>
        <r>
          <rPr>
            <b/>
            <sz val="9"/>
            <color indexed="81"/>
            <rFont val="Tahoma"/>
            <family val="2"/>
          </rPr>
          <t>Ed Kim:</t>
        </r>
        <r>
          <rPr>
            <sz val="9"/>
            <color indexed="81"/>
            <rFont val="Tahoma"/>
            <family val="2"/>
          </rPr>
          <t xml:space="preserve">
total grade3-4 AEs: 62 (84.9%)</t>
        </r>
      </text>
    </comment>
    <comment ref="V9" authorId="2" shapeId="0" xr:uid="{0B5BC30F-605D-4B63-94E7-0D8FD63A4329}">
      <text>
        <r>
          <rPr>
            <b/>
            <sz val="9"/>
            <color indexed="81"/>
            <rFont val="Tahoma"/>
            <family val="2"/>
          </rPr>
          <t>Ed Kim:</t>
        </r>
        <r>
          <rPr>
            <sz val="9"/>
            <color indexed="81"/>
            <rFont val="Tahoma"/>
            <family val="2"/>
          </rPr>
          <t xml:space="preserve">
Assumed that no patient enrolled were PS3/4. total N - PS2 = PS0/1. in the study, only PS0/1/2 were mentioned. </t>
        </r>
      </text>
    </comment>
    <comment ref="AW9" authorId="2" shapeId="0" xr:uid="{E9A4B800-B6FB-4645-A364-4D1DEC9A4455}">
      <text>
        <r>
          <rPr>
            <b/>
            <sz val="9"/>
            <color indexed="81"/>
            <rFont val="Tahoma"/>
            <family val="2"/>
          </rPr>
          <t>Ed Kim:</t>
        </r>
        <r>
          <rPr>
            <sz val="9"/>
            <color indexed="81"/>
            <rFont val="Tahoma"/>
            <family val="2"/>
          </rPr>
          <t xml:space="preserve">
total grade3-4 AEs: 38 (88.4%)
</t>
        </r>
      </text>
    </comment>
    <comment ref="AB10" authorId="2" shapeId="0" xr:uid="{57BC7D17-4753-42DB-9CF6-D1EF1B6863AB}">
      <text>
        <r>
          <rPr>
            <b/>
            <sz val="9"/>
            <color indexed="81"/>
            <rFont val="Tahoma"/>
            <family val="2"/>
          </rPr>
          <t>Ed Kim:</t>
        </r>
        <r>
          <rPr>
            <sz val="9"/>
            <color indexed="81"/>
            <rFont val="Tahoma"/>
            <family val="2"/>
          </rPr>
          <t xml:space="preserve">
AML 6.7 cycles</t>
        </r>
      </text>
    </comment>
    <comment ref="AB11" authorId="2" shapeId="0" xr:uid="{3013B22E-F649-4C79-B5DE-3F72142D201C}">
      <text>
        <r>
          <rPr>
            <b/>
            <sz val="9"/>
            <color indexed="81"/>
            <rFont val="Tahoma"/>
            <family val="2"/>
          </rPr>
          <t>Ed Kim:</t>
        </r>
        <r>
          <rPr>
            <sz val="9"/>
            <color indexed="81"/>
            <rFont val="Tahoma"/>
            <family val="2"/>
          </rPr>
          <t xml:space="preserve">
AML 7.5 cycles</t>
        </r>
      </text>
    </comment>
    <comment ref="F12" authorId="3" shapeId="0" xr:uid="{5934A388-8107-4CE9-AC2C-8EB53AC9138B}">
      <text>
        <r>
          <rPr>
            <sz val="9"/>
            <color indexed="81"/>
            <rFont val="Tahoma"/>
            <family val="2"/>
          </rPr>
          <t>AZA data were pooled data among three intervention unless specified</t>
        </r>
      </text>
    </comment>
    <comment ref="J12" authorId="1" shapeId="0" xr:uid="{8F464690-2620-48C1-B637-8FB46ECA3232}">
      <text>
        <r>
          <rPr>
            <b/>
            <sz val="9"/>
            <color indexed="81"/>
            <rFont val="Tahoma"/>
            <family val="2"/>
          </rPr>
          <t>Christina Kwon:</t>
        </r>
        <r>
          <rPr>
            <sz val="9"/>
            <color indexed="81"/>
            <rFont val="Tahoma"/>
            <family val="2"/>
          </rPr>
          <t xml:space="preserve">
n=154 in patients preselcted with LDAC from Seymour_Haema_2015 (abstract)</t>
        </r>
      </text>
    </comment>
    <comment ref="L12" authorId="1" shapeId="0" xr:uid="{F8A66087-7CB1-447B-B1EB-47495A80B8D9}">
      <text>
        <r>
          <rPr>
            <b/>
            <sz val="9"/>
            <color indexed="81"/>
            <rFont val="Tahoma"/>
            <family val="2"/>
          </rPr>
          <t>Christina Kwon:</t>
        </r>
        <r>
          <rPr>
            <sz val="9"/>
            <color indexed="81"/>
            <rFont val="Tahoma"/>
            <family val="2"/>
          </rPr>
          <t xml:space="preserve">
Among patients preselcted with LDAC: median age 76 (Seymour_Haema_2015 (abstract))</t>
        </r>
      </text>
    </comment>
    <comment ref="M12" authorId="1" shapeId="0" xr:uid="{196080CD-ECBA-4DD7-A39C-5B5446FD3402}">
      <text>
        <r>
          <rPr>
            <b/>
            <sz val="9"/>
            <color indexed="81"/>
            <rFont val="Tahoma"/>
            <family val="2"/>
          </rPr>
          <t>Christina Kwon:</t>
        </r>
        <r>
          <rPr>
            <sz val="9"/>
            <color indexed="81"/>
            <rFont val="Tahoma"/>
            <family val="2"/>
          </rPr>
          <t xml:space="preserve">
Weighted average</t>
        </r>
      </text>
    </comment>
    <comment ref="U12" authorId="0" shapeId="0" xr:uid="{4D66FC3C-3999-4A1C-8AFF-4026DB3EFB9D}">
      <text>
        <r>
          <rPr>
            <b/>
            <sz val="9"/>
            <color indexed="81"/>
            <rFont val="Tahoma"/>
            <family val="2"/>
          </rPr>
          <t>Anastasiya Shor:</t>
        </r>
        <r>
          <rPr>
            <sz val="9"/>
            <color indexed="81"/>
            <rFont val="Tahoma"/>
            <family val="2"/>
          </rPr>
          <t xml:space="preserve">
reported in 10^9/L; it is likely that the authors meant g/L based on the reported values</t>
        </r>
      </text>
    </comment>
    <comment ref="V12" authorId="1" shapeId="0" xr:uid="{68B48334-CBE2-4FB4-A5FB-CEAA2FB68AA5}">
      <text>
        <r>
          <rPr>
            <b/>
            <sz val="9"/>
            <color indexed="81"/>
            <rFont val="Tahoma"/>
            <family val="2"/>
          </rPr>
          <t>Christina Kwon:</t>
        </r>
        <r>
          <rPr>
            <sz val="9"/>
            <color indexed="81"/>
            <rFont val="Tahoma"/>
            <family val="2"/>
          </rPr>
          <t xml:space="preserve">
Among patients preselected with LDAC ECOG PS of 2 25% (Seymour_Haema_2015 (abstract))</t>
        </r>
      </text>
    </comment>
    <comment ref="AA12" authorId="1" shapeId="0" xr:uid="{C9281E08-5339-40CB-8FA4-B63A73CB9998}">
      <text>
        <r>
          <rPr>
            <b/>
            <sz val="9"/>
            <color indexed="81"/>
            <rFont val="Tahoma"/>
            <family val="2"/>
          </rPr>
          <t>Christina Kwon:</t>
        </r>
        <r>
          <rPr>
            <sz val="9"/>
            <color indexed="81"/>
            <rFont val="Tahoma"/>
            <family val="2"/>
          </rPr>
          <t xml:space="preserve">
among patients preselected LDA: poor risk cytogenetics 29% (Seymour_Haema_2015 (abstract))</t>
        </r>
      </text>
    </comment>
    <comment ref="AB12" authorId="3" shapeId="0" xr:uid="{1CBC0BE4-5EC5-43E2-A24D-A9D850E17671}">
      <text>
        <r>
          <rPr>
            <sz val="9"/>
            <color indexed="81"/>
            <rFont val="Tahoma"/>
            <family val="2"/>
          </rPr>
          <t>a median cycle number is 6
6X28=168
Among patients preselcted with LDAC (Seymour_Haema_2015 (abstract)): median cycle number 7X28=196</t>
        </r>
      </text>
    </comment>
    <comment ref="AC12" authorId="3" shapeId="0" xr:uid="{0C0FD93E-DDE6-4567-B83B-28A084FB810D}">
      <text>
        <r>
          <rPr>
            <sz val="9"/>
            <color indexed="81"/>
            <rFont val="Tahoma"/>
            <family val="2"/>
          </rPr>
          <t xml:space="preserve">Among patients preselected for LDAC
</t>
        </r>
      </text>
    </comment>
    <comment ref="AK12" authorId="1" shapeId="0" xr:uid="{D9CEE83D-0FD5-4FA9-8C77-E02119315C65}">
      <text>
        <r>
          <rPr>
            <b/>
            <sz val="9"/>
            <color indexed="81"/>
            <rFont val="Tahoma"/>
            <family val="2"/>
          </rPr>
          <t>Christina Kwon:</t>
        </r>
        <r>
          <rPr>
            <sz val="9"/>
            <color indexed="81"/>
            <rFont val="Tahoma"/>
            <family val="2"/>
          </rPr>
          <t xml:space="preserve">
Among 154 patients preslected with LDAC, CR+CRi 27% (Seymour_Haema_2015 (abstract))</t>
        </r>
      </text>
    </comment>
    <comment ref="AT12" authorId="4" shapeId="0" xr:uid="{8FB2FD0E-8E2A-4E20-88C2-B6269C6571C7}">
      <text>
        <r>
          <rPr>
            <b/>
            <sz val="9"/>
            <color indexed="81"/>
            <rFont val="Tahoma"/>
            <family val="2"/>
          </rPr>
          <t>Ed:</t>
        </r>
        <r>
          <rPr>
            <sz val="9"/>
            <color indexed="81"/>
            <rFont val="Tahoma"/>
            <family val="2"/>
          </rPr>
          <t xml:space="preserve">
RBC Transfusion independence: 65 (38.5%)
Platelets Transfusion independence: 41 (40.6%)</t>
        </r>
      </text>
    </comment>
    <comment ref="AW12" authorId="1" shapeId="0" xr:uid="{B6335FF5-859D-4743-A0CE-48F3999756AF}">
      <text>
        <r>
          <rPr>
            <b/>
            <sz val="9"/>
            <color indexed="81"/>
            <rFont val="Tahoma"/>
            <family val="2"/>
          </rPr>
          <t>Christina Kwon:</t>
        </r>
        <r>
          <rPr>
            <sz val="9"/>
            <color indexed="81"/>
            <rFont val="Tahoma"/>
            <family val="2"/>
          </rPr>
          <t xml:space="preserve">
Dombret et al reported Grade 3 to 4 TEAEs occurring in more than 10% of patients in any
treatment group
Seymour, et al. reported grade 3-4 &gt;5% of all azacitidine-treated patients)
Among 151 patients preselcted with LDAC, 
Febrile neutropenia 40 (36%)
Neutropenia 37 (33%)
Thrombocytopenia 38 (34%)
Pneumonia 25 (22%)
Anemia 29 (26%)
Pyrexia 11 (10%)
Leukopenia 10 (9%)
Sepsis 6 (5%)
Hypokalemia 7(6%)</t>
        </r>
      </text>
    </comment>
    <comment ref="BQ12" authorId="5" shapeId="0" xr:uid="{99D5520D-E46E-4485-B919-F4E82F7B9682}">
      <text>
        <r>
          <rPr>
            <b/>
            <sz val="9"/>
            <color indexed="81"/>
            <rFont val="Tahoma"/>
            <family val="2"/>
          </rPr>
          <t>Denis:</t>
        </r>
        <r>
          <rPr>
            <sz val="9"/>
            <color indexed="81"/>
            <rFont val="Tahoma"/>
            <family val="2"/>
          </rPr>
          <t xml:space="preserve">
scores are AZA vs CCR</t>
        </r>
      </text>
    </comment>
    <comment ref="F13" authorId="3" shapeId="0" xr:uid="{BECF7A6D-4A68-4580-846F-46355ED6AB50}">
      <text>
        <r>
          <rPr>
            <sz val="9"/>
            <color indexed="81"/>
            <rFont val="Tahoma"/>
            <family val="2"/>
          </rPr>
          <t>extracted from only LDAC group among three interventions (best supportive care only(n=45), standard induction chemotherapy (n=44), and LDAC (n=158))</t>
        </r>
      </text>
    </comment>
    <comment ref="U13" authorId="0" shapeId="0" xr:uid="{87014EBF-2B7D-4303-98A3-CB7B75258250}">
      <text>
        <r>
          <rPr>
            <b/>
            <sz val="9"/>
            <color indexed="81"/>
            <rFont val="Tahoma"/>
            <family val="2"/>
          </rPr>
          <t>Anastasiya Shor:</t>
        </r>
        <r>
          <rPr>
            <sz val="9"/>
            <color indexed="81"/>
            <rFont val="Tahoma"/>
            <family val="2"/>
          </rPr>
          <t xml:space="preserve">
reported in 10^9/L; it is likely that the authors meant g/L based on the reported values</t>
        </r>
      </text>
    </comment>
    <comment ref="AB13" authorId="3" shapeId="0" xr:uid="{5BFC0F15-0E27-40FB-9637-BD57F1CD565A}">
      <text>
        <r>
          <rPr>
            <sz val="9"/>
            <color indexed="81"/>
            <rFont val="Tahoma"/>
            <family val="2"/>
          </rPr>
          <t xml:space="preserve">median cycle number is 4 
4X28=112
</t>
        </r>
      </text>
    </comment>
    <comment ref="AK13" authorId="3" shapeId="0" xr:uid="{70048B5A-465F-4EFD-A28B-9AF18BD5C156}">
      <text>
        <r>
          <rPr>
            <sz val="9"/>
            <color indexed="81"/>
            <rFont val="Tahoma"/>
            <family val="2"/>
          </rPr>
          <t>Only percentage was reported. Patients number was estimated from the percentage.</t>
        </r>
      </text>
    </comment>
    <comment ref="AT13" authorId="4" shapeId="0" xr:uid="{B4C3D285-FAF8-4411-B5FB-C39A25A0AB15}">
      <text>
        <r>
          <rPr>
            <b/>
            <sz val="9"/>
            <color indexed="81"/>
            <rFont val="Tahoma"/>
            <family val="2"/>
          </rPr>
          <t>Ed:</t>
        </r>
        <r>
          <rPr>
            <sz val="9"/>
            <color indexed="81"/>
            <rFont val="Tahoma"/>
            <family val="2"/>
          </rPr>
          <t xml:space="preserve">
Not specific to LDAC patients. BSC, LDAC, IC combined. Platelets Transfusion independence: 24 (29.3%)
RBC Transfusion independence: 45 (27.6%)</t>
        </r>
      </text>
    </comment>
    <comment ref="BF13" authorId="1" shapeId="0" xr:uid="{D043958C-2232-4F0A-9A7E-0EEEC25F3723}">
      <text>
        <r>
          <rPr>
            <b/>
            <sz val="9"/>
            <color indexed="81"/>
            <rFont val="Tahoma"/>
            <family val="2"/>
          </rPr>
          <t>Christina Kwon:</t>
        </r>
        <r>
          <rPr>
            <sz val="9"/>
            <color indexed="81"/>
            <rFont val="Tahoma"/>
            <family val="2"/>
          </rPr>
          <t xml:space="preserve">
From Seymour_LL_2017</t>
        </r>
      </text>
    </comment>
    <comment ref="BM13" authorId="1" shapeId="0" xr:uid="{D8D24720-5A39-490F-B09B-3CC02376223D}">
      <text>
        <r>
          <rPr>
            <b/>
            <sz val="9"/>
            <color indexed="81"/>
            <rFont val="Tahoma"/>
            <family val="2"/>
          </rPr>
          <t>Christina Kwon:</t>
        </r>
        <r>
          <rPr>
            <sz val="9"/>
            <color indexed="81"/>
            <rFont val="Tahoma"/>
            <family val="2"/>
          </rPr>
          <t xml:space="preserve">
Sepsis 8 (10%)
from Seymour_LL_2017</t>
        </r>
      </text>
    </comment>
    <comment ref="Q14" authorId="5" shapeId="0" xr:uid="{D7E8E5F4-8408-421A-A25A-50D060D1B2EA}">
      <text>
        <r>
          <rPr>
            <b/>
            <sz val="9"/>
            <color indexed="81"/>
            <rFont val="Tahoma"/>
            <family val="2"/>
          </rPr>
          <t xml:space="preserve">Denis:
</t>
        </r>
        <r>
          <rPr>
            <sz val="9"/>
            <color indexed="81"/>
            <rFont val="Tahoma"/>
            <family val="2"/>
          </rPr>
          <t>FAB classification</t>
        </r>
        <r>
          <rPr>
            <b/>
            <sz val="9"/>
            <color indexed="81"/>
            <rFont val="Tahoma"/>
            <family val="2"/>
          </rPr>
          <t xml:space="preserve">
</t>
        </r>
        <r>
          <rPr>
            <sz val="9"/>
            <color indexed="81"/>
            <rFont val="Tahoma"/>
            <family val="2"/>
          </rPr>
          <t xml:space="preserve">AML 1 (2%) + RAEB-T 15 ( 33%)
</t>
        </r>
        <r>
          <rPr>
            <sz val="9"/>
            <color indexed="81"/>
            <rFont val="Tahoma"/>
            <family val="2"/>
          </rPr>
          <t xml:space="preserve">
WHO classification:
14 (31%)</t>
        </r>
      </text>
    </comment>
    <comment ref="R14" authorId="5" shapeId="0" xr:uid="{EBA60EB4-B261-4679-9CDE-3AFB037F26A7}">
      <text>
        <r>
          <rPr>
            <b/>
            <sz val="9"/>
            <color indexed="81"/>
            <rFont val="Tahoma"/>
            <family val="2"/>
          </rPr>
          <t>Denis:</t>
        </r>
        <r>
          <rPr>
            <sz val="9"/>
            <color indexed="81"/>
            <rFont val="Tahoma"/>
            <family val="2"/>
          </rPr>
          <t xml:space="preserve">
FAB classificaiton: 
RAEB
WHO classification:
RAEB-1 + RAEB-2 = 3 (7%) + 27 (60%) = 30 (67%)</t>
        </r>
      </text>
    </comment>
    <comment ref="U14" authorId="1" shapeId="0" xr:uid="{1BDFB3B7-1E07-48E3-ADDA-6E98224319C3}">
      <text>
        <r>
          <rPr>
            <b/>
            <sz val="9"/>
            <color indexed="81"/>
            <rFont val="Tahoma"/>
            <family val="2"/>
          </rPr>
          <t>Christina Kwon:</t>
        </r>
        <r>
          <rPr>
            <sz val="9"/>
            <color indexed="81"/>
            <rFont val="Tahoma"/>
            <family val="2"/>
          </rPr>
          <t xml:space="preserve">
From Fenaux BJH 2010</t>
        </r>
      </text>
    </comment>
    <comment ref="V14" authorId="5" shapeId="0" xr:uid="{448E8F2A-626E-41C8-AACB-98EF696E9643}">
      <text>
        <r>
          <rPr>
            <b/>
            <sz val="9"/>
            <color indexed="81"/>
            <rFont val="Tahoma"/>
            <family val="2"/>
          </rPr>
          <t>Denis:</t>
        </r>
        <r>
          <rPr>
            <sz val="9"/>
            <color indexed="81"/>
            <rFont val="Tahoma"/>
            <family val="2"/>
          </rPr>
          <t xml:space="preserve">
PS 0 + 1
21 (47%) + 21 (47%)</t>
        </r>
      </text>
    </comment>
    <comment ref="Z14" authorId="5" shapeId="0" xr:uid="{BA370A08-D519-4542-AAE3-913F7C4FDB0A}">
      <text>
        <r>
          <rPr>
            <b/>
            <sz val="9"/>
            <color indexed="81"/>
            <rFont val="Tahoma"/>
            <family val="2"/>
          </rPr>
          <t>Denis:</t>
        </r>
        <r>
          <rPr>
            <sz val="9"/>
            <color indexed="81"/>
            <rFont val="Tahoma"/>
            <family val="2"/>
          </rPr>
          <t xml:space="preserve">
[Karyotype risk]
24 (53%) [good] + 7 (16%) [intermediate]
</t>
        </r>
      </text>
    </comment>
    <comment ref="AA14" authorId="5" shapeId="0" xr:uid="{569A2D13-271B-41D6-8823-7195AD486D78}">
      <text>
        <r>
          <rPr>
            <b/>
            <sz val="9"/>
            <color indexed="81"/>
            <rFont val="Tahoma"/>
            <family val="2"/>
          </rPr>
          <t>Denis:</t>
        </r>
        <r>
          <rPr>
            <sz val="9"/>
            <color indexed="81"/>
            <rFont val="Tahoma"/>
            <family val="2"/>
          </rPr>
          <t xml:space="preserve">
[Karyotype risk]</t>
        </r>
      </text>
    </comment>
    <comment ref="AB14" authorId="5" shapeId="0" xr:uid="{1BFC0EF7-CF7B-4786-A9AE-A1F117E2C8D0}">
      <text>
        <r>
          <rPr>
            <b/>
            <sz val="9"/>
            <color indexed="81"/>
            <rFont val="Tahoma"/>
            <family val="2"/>
          </rPr>
          <t>Denis:</t>
        </r>
        <r>
          <rPr>
            <sz val="9"/>
            <color indexed="81"/>
            <rFont val="Tahoma"/>
            <family val="2"/>
          </rPr>
          <t xml:space="preserve">
9 [cycles] x 28 [median cycle-length days]</t>
        </r>
      </text>
    </comment>
    <comment ref="AQ14" authorId="1" shapeId="0" xr:uid="{5C92F868-DA69-4098-BC81-7D90BEF5F629}">
      <text>
        <r>
          <rPr>
            <b/>
            <sz val="9"/>
            <color indexed="81"/>
            <rFont val="Tahoma"/>
            <family val="2"/>
          </rPr>
          <t>Christina Kwon:</t>
        </r>
        <r>
          <rPr>
            <sz val="9"/>
            <color indexed="81"/>
            <rFont val="Tahoma"/>
            <family val="2"/>
          </rPr>
          <t xml:space="preserve">
Median duration of complete plus partial remission in the entire AZA group</t>
        </r>
      </text>
    </comment>
    <comment ref="AT14" authorId="5" shapeId="0" xr:uid="{C6DCDCA3-F49F-4BC3-9FA5-E574D8D0CF79}">
      <text>
        <r>
          <rPr>
            <b/>
            <sz val="9"/>
            <color indexed="81"/>
            <rFont val="Tahoma"/>
            <family val="2"/>
          </rPr>
          <t>Denis:</t>
        </r>
        <r>
          <rPr>
            <sz val="9"/>
            <color indexed="81"/>
            <rFont val="Tahoma"/>
            <family val="2"/>
          </rPr>
          <t xml:space="preserve">
Out of 111 patients who were dependent on red-blood-cell transfusions at baseline in the azacitidine group
</t>
        </r>
        <r>
          <rPr>
            <b/>
            <sz val="9"/>
            <color indexed="81"/>
            <rFont val="Tahoma"/>
            <family val="2"/>
          </rPr>
          <t>Ed:</t>
        </r>
        <r>
          <rPr>
            <sz val="9"/>
            <color indexed="81"/>
            <rFont val="Tahoma"/>
            <family val="2"/>
          </rPr>
          <t xml:space="preserve">
For the entire azacitidine arm</t>
        </r>
      </text>
    </comment>
    <comment ref="AW14" authorId="1" shapeId="0" xr:uid="{93EB9B78-36BD-419D-8FA8-86E8195E180A}">
      <text>
        <r>
          <rPr>
            <b/>
            <sz val="9"/>
            <color indexed="81"/>
            <rFont val="Tahoma"/>
            <family val="2"/>
          </rPr>
          <t>Christina Kwon:</t>
        </r>
        <r>
          <rPr>
            <sz val="9"/>
            <color indexed="81"/>
            <rFont val="Tahoma"/>
            <family val="2"/>
          </rPr>
          <t xml:space="preserve">
The most common grade 3-4 AE were reported</t>
        </r>
      </text>
    </comment>
    <comment ref="AX14" authorId="5" shapeId="0" xr:uid="{EF75B1BA-E13E-42A9-9673-136746CD3361}">
      <text>
        <r>
          <rPr>
            <b/>
            <sz val="9"/>
            <color indexed="81"/>
            <rFont val="Tahoma"/>
            <family val="2"/>
          </rPr>
          <t>Denis:</t>
        </r>
        <r>
          <rPr>
            <sz val="9"/>
            <color indexed="81"/>
            <rFont val="Tahoma"/>
            <family val="2"/>
          </rPr>
          <t xml:space="preserve">
Baseline 0-2 progressed to grade 3 or 4 during treatment: 25/40 (63%)</t>
        </r>
      </text>
    </comment>
    <comment ref="AZ14" authorId="5" shapeId="0" xr:uid="{F4B712EB-5745-4CB0-AF31-CD2088233524}">
      <text>
        <r>
          <rPr>
            <b/>
            <sz val="9"/>
            <color indexed="81"/>
            <rFont val="Tahoma"/>
            <family val="2"/>
          </rPr>
          <t>Denis:</t>
        </r>
        <r>
          <rPr>
            <sz val="9"/>
            <color indexed="81"/>
            <rFont val="Tahoma"/>
            <family val="2"/>
          </rPr>
          <t xml:space="preserve">
Baseline 0-2 progressed to grade 3 or 4 during treatment: 14/18 (78%)</t>
        </r>
      </text>
    </comment>
    <comment ref="BD14" authorId="5" shapeId="0" xr:uid="{84ABC525-DB4B-4D0F-8134-0F24A11004E0}">
      <text>
        <r>
          <rPr>
            <b/>
            <sz val="9"/>
            <color indexed="81"/>
            <rFont val="Tahoma"/>
            <family val="2"/>
          </rPr>
          <t>Denis:</t>
        </r>
        <r>
          <rPr>
            <sz val="9"/>
            <color indexed="81"/>
            <rFont val="Tahoma"/>
            <family val="2"/>
          </rPr>
          <t xml:space="preserve">
Baseline 0-2 progressed to grade 3 or 4 during treatment: 17/20 (85%)</t>
        </r>
      </text>
    </comment>
    <comment ref="BF14" authorId="1" shapeId="0" xr:uid="{B841B316-FB6C-4A29-BC6A-2DDBCB7711A9}">
      <text>
        <r>
          <rPr>
            <b/>
            <sz val="9"/>
            <color indexed="81"/>
            <rFont val="Tahoma"/>
            <family val="2"/>
          </rPr>
          <t>Christina Kwon:</t>
        </r>
        <r>
          <rPr>
            <sz val="9"/>
            <color indexed="81"/>
            <rFont val="Tahoma"/>
            <family val="2"/>
          </rPr>
          <t xml:space="preserve">
From Fenaux_BJH_2010</t>
        </r>
      </text>
    </comment>
    <comment ref="BG14" authorId="1" shapeId="0" xr:uid="{D333F90C-8747-442D-B3EB-03C57C0175C4}">
      <text>
        <r>
          <rPr>
            <b/>
            <sz val="9"/>
            <color indexed="81"/>
            <rFont val="Tahoma"/>
            <family val="2"/>
          </rPr>
          <t>Christina Kwon:</t>
        </r>
        <r>
          <rPr>
            <sz val="9"/>
            <color indexed="81"/>
            <rFont val="Tahoma"/>
            <family val="2"/>
          </rPr>
          <t xml:space="preserve">
From Fenaux_BJH_2010</t>
        </r>
      </text>
    </comment>
    <comment ref="Q15" authorId="5" shapeId="0" xr:uid="{E9DF5AA8-E182-487E-B817-C4CD2F58412D}">
      <text>
        <r>
          <rPr>
            <b/>
            <sz val="9"/>
            <color indexed="81"/>
            <rFont val="Tahoma"/>
            <family val="2"/>
          </rPr>
          <t xml:space="preserve">Denis:
</t>
        </r>
        <r>
          <rPr>
            <sz val="9"/>
            <color indexed="81"/>
            <rFont val="Tahoma"/>
            <family val="2"/>
          </rPr>
          <t>FAB classification: RAEB-T</t>
        </r>
        <r>
          <rPr>
            <b/>
            <sz val="9"/>
            <color indexed="81"/>
            <rFont val="Tahoma"/>
            <family val="2"/>
          </rPr>
          <t xml:space="preserve">
</t>
        </r>
        <r>
          <rPr>
            <sz val="9"/>
            <color indexed="81"/>
            <rFont val="Tahoma"/>
            <family val="2"/>
          </rPr>
          <t xml:space="preserve">
WHO classification:
20 (41%)</t>
        </r>
      </text>
    </comment>
    <comment ref="R15" authorId="5" shapeId="0" xr:uid="{DB6EB60C-9B9F-490A-987F-EDF3265C0048}">
      <text>
        <r>
          <rPr>
            <b/>
            <sz val="9"/>
            <color indexed="81"/>
            <rFont val="Tahoma"/>
            <family val="2"/>
          </rPr>
          <t>Denis:</t>
        </r>
        <r>
          <rPr>
            <sz val="9"/>
            <color indexed="81"/>
            <rFont val="Tahoma"/>
            <family val="2"/>
          </rPr>
          <t xml:space="preserve">
FAB classificaiton: 
RAEB
WHO classification:
RAEB-1 + RAEB-2 = 3 (6%) + 24 (49%) = 27 (55%)</t>
        </r>
      </text>
    </comment>
    <comment ref="U15" authorId="1" shapeId="0" xr:uid="{A5633BA2-DBB3-4E6A-A279-6B1BD86A103F}">
      <text>
        <r>
          <rPr>
            <b/>
            <sz val="9"/>
            <color indexed="81"/>
            <rFont val="Tahoma"/>
            <family val="2"/>
          </rPr>
          <t>Christina Kwon:</t>
        </r>
        <r>
          <rPr>
            <sz val="9"/>
            <color indexed="81"/>
            <rFont val="Tahoma"/>
            <family val="2"/>
          </rPr>
          <t xml:space="preserve">
From Fenaux BJH 2010</t>
        </r>
      </text>
    </comment>
    <comment ref="V15" authorId="5" shapeId="0" xr:uid="{31630E06-C5D8-476E-ACC3-87ECF810D4B8}">
      <text>
        <r>
          <rPr>
            <b/>
            <sz val="9"/>
            <color indexed="81"/>
            <rFont val="Tahoma"/>
            <family val="2"/>
          </rPr>
          <t>Denis:</t>
        </r>
        <r>
          <rPr>
            <sz val="9"/>
            <color indexed="81"/>
            <rFont val="Tahoma"/>
            <family val="2"/>
          </rPr>
          <t xml:space="preserve">
PS 0 + 1
29 (59%) + 17 (35%)</t>
        </r>
      </text>
    </comment>
    <comment ref="Z15" authorId="5" shapeId="0" xr:uid="{FEE5197D-CFEA-49A1-95CB-6F1F03051304}">
      <text>
        <r>
          <rPr>
            <b/>
            <sz val="9"/>
            <color indexed="81"/>
            <rFont val="Tahoma"/>
            <family val="2"/>
          </rPr>
          <t>Denis:</t>
        </r>
        <r>
          <rPr>
            <sz val="9"/>
            <color indexed="81"/>
            <rFont val="Tahoma"/>
            <family val="2"/>
          </rPr>
          <t xml:space="preserve">
[Karyotype risk]
28 (57%) [good] + 12 (25%) [intermediate]</t>
        </r>
      </text>
    </comment>
    <comment ref="AA15" authorId="5" shapeId="0" xr:uid="{13D0F173-197B-4E31-8414-6895FDF47E45}">
      <text>
        <r>
          <rPr>
            <b/>
            <sz val="9"/>
            <color indexed="81"/>
            <rFont val="Tahoma"/>
            <family val="2"/>
          </rPr>
          <t>Denis:</t>
        </r>
        <r>
          <rPr>
            <sz val="9"/>
            <color indexed="81"/>
            <rFont val="Tahoma"/>
            <family val="2"/>
          </rPr>
          <t xml:space="preserve">
[Karyotype risk]</t>
        </r>
      </text>
    </comment>
    <comment ref="AB15" authorId="5" shapeId="0" xr:uid="{5A2E6AF4-6766-47B9-8309-FE40165E4B7F}">
      <text>
        <r>
          <rPr>
            <b/>
            <sz val="9"/>
            <color indexed="81"/>
            <rFont val="Tahoma"/>
            <family val="2"/>
          </rPr>
          <t>Denis:</t>
        </r>
        <r>
          <rPr>
            <sz val="9"/>
            <color indexed="81"/>
            <rFont val="Tahoma"/>
            <family val="2"/>
          </rPr>
          <t xml:space="preserve">
4.5 [cycles] x 35 [median cycle-length days]</t>
        </r>
      </text>
    </comment>
    <comment ref="AQ15" authorId="1" shapeId="0" xr:uid="{DAD55E5C-6ABB-4A4E-8EF1-F3DFA0FF4718}">
      <text>
        <r>
          <rPr>
            <b/>
            <sz val="9"/>
            <color indexed="81"/>
            <rFont val="Tahoma"/>
            <family val="2"/>
          </rPr>
          <t>Christina Kwon:</t>
        </r>
        <r>
          <rPr>
            <sz val="9"/>
            <color indexed="81"/>
            <rFont val="Tahoma"/>
            <family val="2"/>
          </rPr>
          <t xml:space="preserve">
Median duration of complete plus partial remission in the conventional care group</t>
        </r>
      </text>
    </comment>
    <comment ref="AT15" authorId="5" shapeId="0" xr:uid="{54C52612-E5D9-45BA-AC10-E59253859D62}">
      <text>
        <r>
          <rPr>
            <b/>
            <sz val="9"/>
            <color indexed="81"/>
            <rFont val="Tahoma"/>
            <family val="2"/>
          </rPr>
          <t>Denis:</t>
        </r>
        <r>
          <rPr>
            <sz val="9"/>
            <color indexed="81"/>
            <rFont val="Tahoma"/>
            <family val="2"/>
          </rPr>
          <t xml:space="preserve">
Out of 114 patients who were dependent on red-blood-cell transfusions at baseline in the conventional care group
</t>
        </r>
        <r>
          <rPr>
            <b/>
            <sz val="9"/>
            <color indexed="81"/>
            <rFont val="Tahoma"/>
            <family val="2"/>
          </rPr>
          <t>Ed:</t>
        </r>
        <r>
          <rPr>
            <sz val="9"/>
            <color indexed="81"/>
            <rFont val="Tahoma"/>
            <family val="2"/>
          </rPr>
          <t xml:space="preserve">
For the entire conventional care arm</t>
        </r>
      </text>
    </comment>
    <comment ref="AX15" authorId="5" shapeId="0" xr:uid="{EF1CB1BD-D4A3-43FD-B7AB-DB625C7F8CB2}">
      <text>
        <r>
          <rPr>
            <b/>
            <sz val="9"/>
            <color indexed="81"/>
            <rFont val="Tahoma"/>
            <family val="2"/>
          </rPr>
          <t>Denis:</t>
        </r>
        <r>
          <rPr>
            <sz val="9"/>
            <color indexed="81"/>
            <rFont val="Tahoma"/>
            <family val="2"/>
          </rPr>
          <t xml:space="preserve">
Baseline 0-2 progressed to grade 3 or 4 during treatment: 28/37 (76%)</t>
        </r>
      </text>
    </comment>
    <comment ref="AZ15" authorId="5" shapeId="0" xr:uid="{3F4BCD75-B5A0-4029-8733-A082FD154A78}">
      <text>
        <r>
          <rPr>
            <b/>
            <sz val="9"/>
            <color indexed="81"/>
            <rFont val="Tahoma"/>
            <family val="2"/>
          </rPr>
          <t>Denis:</t>
        </r>
        <r>
          <rPr>
            <sz val="9"/>
            <color indexed="81"/>
            <rFont val="Tahoma"/>
            <family val="2"/>
          </rPr>
          <t xml:space="preserve">
Baseline 0-2 progressed to grade 3 or 4 during treatment: 19/24 (79%)</t>
        </r>
      </text>
    </comment>
    <comment ref="BD15" authorId="5" shapeId="0" xr:uid="{13204328-0BE8-4BEA-9ED8-6701743C8117}">
      <text>
        <r>
          <rPr>
            <b/>
            <sz val="9"/>
            <color indexed="81"/>
            <rFont val="Tahoma"/>
            <family val="2"/>
          </rPr>
          <t>Denis:</t>
        </r>
        <r>
          <rPr>
            <sz val="9"/>
            <color indexed="81"/>
            <rFont val="Tahoma"/>
            <family val="2"/>
          </rPr>
          <t xml:space="preserve">
Baseline 0-2 progressed to grade 3 or 4 during treatment: 29/30 (97%)</t>
        </r>
      </text>
    </comment>
    <comment ref="BF15" authorId="1" shapeId="0" xr:uid="{FE94B8F1-9EBE-4BCA-A827-D2001E86C73B}">
      <text>
        <r>
          <rPr>
            <b/>
            <sz val="9"/>
            <color indexed="81"/>
            <rFont val="Tahoma"/>
            <family val="2"/>
          </rPr>
          <t>Christina Kwon:</t>
        </r>
        <r>
          <rPr>
            <sz val="9"/>
            <color indexed="81"/>
            <rFont val="Tahoma"/>
            <family val="2"/>
          </rPr>
          <t xml:space="preserve">
From Fenaux_BJH_2010</t>
        </r>
      </text>
    </comment>
    <comment ref="BG15" authorId="1" shapeId="0" xr:uid="{45310276-5FE4-4145-9937-E11A4FFC449B}">
      <text>
        <r>
          <rPr>
            <b/>
            <sz val="9"/>
            <color indexed="81"/>
            <rFont val="Tahoma"/>
            <family val="2"/>
          </rPr>
          <t>Christina Kwon:</t>
        </r>
        <r>
          <rPr>
            <sz val="9"/>
            <color indexed="81"/>
            <rFont val="Tahoma"/>
            <family val="2"/>
          </rPr>
          <t xml:space="preserve">
From Fenaux_BJH_2010</t>
        </r>
      </text>
    </comment>
    <comment ref="Q16" authorId="5" shapeId="0" xr:uid="{36F079ED-4537-4F0F-843C-8D15A695EB9A}">
      <text>
        <r>
          <rPr>
            <b/>
            <sz val="9"/>
            <color indexed="81"/>
            <rFont val="Tahoma"/>
            <family val="2"/>
          </rPr>
          <t>Denis:</t>
        </r>
        <r>
          <rPr>
            <sz val="9"/>
            <color indexed="81"/>
            <rFont val="Tahoma"/>
            <family val="2"/>
          </rPr>
          <t xml:space="preserve">
FAB classification RAEB-T
WHO classification:
36 (31%)</t>
        </r>
      </text>
    </comment>
    <comment ref="R16" authorId="5" shapeId="0" xr:uid="{763C44ED-44FC-4A21-81B5-E365F7263112}">
      <text>
        <r>
          <rPr>
            <b/>
            <sz val="9"/>
            <color indexed="81"/>
            <rFont val="Tahoma"/>
            <family val="2"/>
          </rPr>
          <t>Denis:</t>
        </r>
        <r>
          <rPr>
            <sz val="9"/>
            <color indexed="81"/>
            <rFont val="Tahoma"/>
            <family val="2"/>
          </rPr>
          <t xml:space="preserve">
FAB classificaiton: 
RAEB
WHO classification:
RAEB-1 + RAEB-2 = 8 (7%) + 63 (54%) = 71 (61%)</t>
        </r>
      </text>
    </comment>
    <comment ref="V16" authorId="5" shapeId="0" xr:uid="{ADFE8A1E-93C0-4E0D-BB6A-7BDE5031E650}">
      <text>
        <r>
          <rPr>
            <b/>
            <sz val="9"/>
            <color indexed="81"/>
            <rFont val="Tahoma"/>
            <family val="2"/>
          </rPr>
          <t>Denis:</t>
        </r>
        <r>
          <rPr>
            <sz val="9"/>
            <color indexed="81"/>
            <rFont val="Tahoma"/>
            <family val="2"/>
          </rPr>
          <t xml:space="preserve">
PS 0 + 1
47 (40%) + 59 (50%)</t>
        </r>
      </text>
    </comment>
    <comment ref="Z16" authorId="5" shapeId="0" xr:uid="{7DAA7276-4D01-4289-BEBB-465571F06088}">
      <text>
        <r>
          <rPr>
            <b/>
            <sz val="9"/>
            <color indexed="81"/>
            <rFont val="Tahoma"/>
            <family val="2"/>
          </rPr>
          <t>Denis:</t>
        </r>
        <r>
          <rPr>
            <sz val="9"/>
            <color indexed="81"/>
            <rFont val="Tahoma"/>
            <family val="2"/>
          </rPr>
          <t xml:space="preserve">
[Karyotype risk]
53 (45%) [good] + 25 (21%) [intermediate]</t>
        </r>
      </text>
    </comment>
    <comment ref="AA16" authorId="5" shapeId="0" xr:uid="{C2A5D360-344A-4044-8A4E-0ACE829233E6}">
      <text>
        <r>
          <rPr>
            <b/>
            <sz val="9"/>
            <color indexed="81"/>
            <rFont val="Tahoma"/>
            <family val="2"/>
          </rPr>
          <t>Denis:</t>
        </r>
        <r>
          <rPr>
            <sz val="9"/>
            <color indexed="81"/>
            <rFont val="Tahoma"/>
            <family val="2"/>
          </rPr>
          <t xml:space="preserve">
[Karyotype risk]</t>
        </r>
      </text>
    </comment>
    <comment ref="AB16" authorId="5" shapeId="0" xr:uid="{DCBA9F47-A38C-4B03-B4DC-662F347D2482}">
      <text>
        <r>
          <rPr>
            <b/>
            <sz val="9"/>
            <color indexed="81"/>
            <rFont val="Tahoma"/>
            <family val="2"/>
          </rPr>
          <t>Denis:</t>
        </r>
        <r>
          <rPr>
            <sz val="9"/>
            <color indexed="81"/>
            <rFont val="Tahoma"/>
            <family val="2"/>
          </rPr>
          <t xml:space="preserve">
9 [cycles] x 28 [median cycle-length days]</t>
        </r>
      </text>
    </comment>
    <comment ref="AQ16" authorId="1" shapeId="0" xr:uid="{6B7EE8E0-C8AE-4E51-91E2-33AB7D8429DB}">
      <text>
        <r>
          <rPr>
            <b/>
            <sz val="9"/>
            <color indexed="81"/>
            <rFont val="Tahoma"/>
            <family val="2"/>
          </rPr>
          <t>Christina Kwon:</t>
        </r>
        <r>
          <rPr>
            <sz val="9"/>
            <color indexed="81"/>
            <rFont val="Tahoma"/>
            <family val="2"/>
          </rPr>
          <t xml:space="preserve">
Median duration of complete plus partial remission in the entire AZA group</t>
        </r>
      </text>
    </comment>
    <comment ref="AT16" authorId="5" shapeId="0" xr:uid="{60064F7D-8514-4E8D-BB05-C6CB98DE0C44}">
      <text>
        <r>
          <rPr>
            <b/>
            <sz val="9"/>
            <color indexed="81"/>
            <rFont val="Tahoma"/>
            <family val="2"/>
          </rPr>
          <t>Denis:</t>
        </r>
        <r>
          <rPr>
            <sz val="9"/>
            <color indexed="81"/>
            <rFont val="Tahoma"/>
            <family val="2"/>
          </rPr>
          <t xml:space="preserve">
Out of 111 patients who were dependent on red-blood-cell transfusions at baseline in the azacitidine group
</t>
        </r>
        <r>
          <rPr>
            <b/>
            <sz val="9"/>
            <color indexed="81"/>
            <rFont val="Tahoma"/>
            <family val="2"/>
          </rPr>
          <t>Ed:</t>
        </r>
        <r>
          <rPr>
            <sz val="9"/>
            <color indexed="81"/>
            <rFont val="Tahoma"/>
            <family val="2"/>
          </rPr>
          <t xml:space="preserve">
For the entire azacitidine arm</t>
        </r>
      </text>
    </comment>
    <comment ref="AX16" authorId="5" shapeId="0" xr:uid="{D62EC2CE-2F26-4158-BC68-3884886347CB}">
      <text>
        <r>
          <rPr>
            <b/>
            <sz val="9"/>
            <color indexed="81"/>
            <rFont val="Tahoma"/>
            <family val="2"/>
          </rPr>
          <t>Denis:</t>
        </r>
        <r>
          <rPr>
            <sz val="9"/>
            <color indexed="81"/>
            <rFont val="Tahoma"/>
            <family val="2"/>
          </rPr>
          <t xml:space="preserve">
Baseline 0-2 progressed to grade 3 or 4 during treatment: 52/103 (51%)</t>
        </r>
      </text>
    </comment>
    <comment ref="AZ16" authorId="5" shapeId="0" xr:uid="{03CA9AF6-3D21-4FD8-A56C-21D6569D5D9B}">
      <text>
        <r>
          <rPr>
            <b/>
            <sz val="9"/>
            <color indexed="81"/>
            <rFont val="Tahoma"/>
            <family val="2"/>
          </rPr>
          <t>Denis:</t>
        </r>
        <r>
          <rPr>
            <sz val="9"/>
            <color indexed="81"/>
            <rFont val="Tahoma"/>
            <family val="2"/>
          </rPr>
          <t xml:space="preserve">
Baseline 0-2 progressed to grade 3 or 4 during treatment: 45/53 (85%)</t>
        </r>
      </text>
    </comment>
    <comment ref="BD16" authorId="5" shapeId="0" xr:uid="{8CCD02A3-3EC3-4832-9B20-8A62F125024C}">
      <text>
        <r>
          <rPr>
            <b/>
            <sz val="9"/>
            <color indexed="81"/>
            <rFont val="Tahoma"/>
            <family val="2"/>
          </rPr>
          <t>Denis:</t>
        </r>
        <r>
          <rPr>
            <sz val="9"/>
            <color indexed="81"/>
            <rFont val="Tahoma"/>
            <family val="2"/>
          </rPr>
          <t xml:space="preserve">
Baseline 0-2 progressed to grade 3 or 4 during treatment: 49/69 (71%)</t>
        </r>
      </text>
    </comment>
    <comment ref="Q17" authorId="5" shapeId="0" xr:uid="{B633CAFB-3336-4621-B875-21E04DE7C22C}">
      <text>
        <r>
          <rPr>
            <b/>
            <sz val="9"/>
            <color indexed="81"/>
            <rFont val="Tahoma"/>
            <family val="2"/>
          </rPr>
          <t>Denis:</t>
        </r>
        <r>
          <rPr>
            <sz val="9"/>
            <color indexed="81"/>
            <rFont val="Tahoma"/>
            <family val="2"/>
          </rPr>
          <t xml:space="preserve">
FAB classification
RAEB-T
WHO classification:
27 (26%)</t>
        </r>
      </text>
    </comment>
    <comment ref="R17" authorId="5" shapeId="0" xr:uid="{23DC1F43-6449-497C-8D40-1046F61B477C}">
      <text>
        <r>
          <rPr>
            <b/>
            <sz val="9"/>
            <color indexed="81"/>
            <rFont val="Tahoma"/>
            <family val="2"/>
          </rPr>
          <t>Denis:</t>
        </r>
        <r>
          <rPr>
            <sz val="9"/>
            <color indexed="81"/>
            <rFont val="Tahoma"/>
            <family val="2"/>
          </rPr>
          <t xml:space="preserve">
FAB classificaiton: 
RAEB 
WHO classification:
RAEB-1 + RAEB-2 = 13 (12%) + 60 (57%) = 73 (69%)</t>
        </r>
      </text>
    </comment>
    <comment ref="V17" authorId="5" shapeId="0" xr:uid="{B1B1B8F8-C32A-4DEE-9A5D-7D70BADC6739}">
      <text>
        <r>
          <rPr>
            <b/>
            <sz val="9"/>
            <color indexed="81"/>
            <rFont val="Tahoma"/>
            <family val="2"/>
          </rPr>
          <t>Denis:</t>
        </r>
        <r>
          <rPr>
            <sz val="9"/>
            <color indexed="81"/>
            <rFont val="Tahoma"/>
            <family val="2"/>
          </rPr>
          <t xml:space="preserve">
PS 0 + 1
36 (34%) + 59 (56%)</t>
        </r>
      </text>
    </comment>
    <comment ref="Z17" authorId="5" shapeId="0" xr:uid="{CE6514A8-98A5-4DAD-B13C-E45AD5651444}">
      <text>
        <r>
          <rPr>
            <b/>
            <sz val="9"/>
            <color indexed="81"/>
            <rFont val="Tahoma"/>
            <family val="2"/>
          </rPr>
          <t>Denis:</t>
        </r>
        <r>
          <rPr>
            <sz val="9"/>
            <color indexed="81"/>
            <rFont val="Tahoma"/>
            <family val="2"/>
          </rPr>
          <t xml:space="preserve">
[Karyotype risk]
47 (45%) [good] + 23 (22%) [intermediate]</t>
        </r>
      </text>
    </comment>
    <comment ref="AA17" authorId="5" shapeId="0" xr:uid="{A4325F7A-F42C-494E-9C29-3C255310D088}">
      <text>
        <r>
          <rPr>
            <b/>
            <sz val="9"/>
            <color indexed="81"/>
            <rFont val="Tahoma"/>
            <family val="2"/>
          </rPr>
          <t>Denis:</t>
        </r>
        <r>
          <rPr>
            <sz val="9"/>
            <color indexed="81"/>
            <rFont val="Tahoma"/>
            <family val="2"/>
          </rPr>
          <t xml:space="preserve">
[Karyotype risk]</t>
        </r>
      </text>
    </comment>
    <comment ref="AB17" authorId="5" shapeId="0" xr:uid="{62E397C9-3E2E-4644-8616-216DCCC327FA}">
      <text>
        <r>
          <rPr>
            <b/>
            <sz val="9"/>
            <color indexed="81"/>
            <rFont val="Tahoma"/>
            <family val="2"/>
          </rPr>
          <t>Denis:</t>
        </r>
        <r>
          <rPr>
            <sz val="9"/>
            <color indexed="81"/>
            <rFont val="Tahoma"/>
            <family val="2"/>
          </rPr>
          <t xml:space="preserve">
6.2 months = 188.6 days</t>
        </r>
      </text>
    </comment>
    <comment ref="AQ17" authorId="1" shapeId="0" xr:uid="{63BBA622-67AC-41FE-BDFE-72925878CE99}">
      <text>
        <r>
          <rPr>
            <b/>
            <sz val="9"/>
            <color indexed="81"/>
            <rFont val="Tahoma"/>
            <family val="2"/>
          </rPr>
          <t>Christina Kwon:</t>
        </r>
        <r>
          <rPr>
            <sz val="9"/>
            <color indexed="81"/>
            <rFont val="Tahoma"/>
            <family val="2"/>
          </rPr>
          <t xml:space="preserve">
Median duration of complete plus partial remission in the conventional care group</t>
        </r>
      </text>
    </comment>
    <comment ref="AT17" authorId="5" shapeId="0" xr:uid="{980380EE-2D5E-4918-B928-F8C73B4C9371}">
      <text>
        <r>
          <rPr>
            <b/>
            <sz val="9"/>
            <color indexed="81"/>
            <rFont val="Tahoma"/>
            <family val="2"/>
          </rPr>
          <t>Denis:</t>
        </r>
        <r>
          <rPr>
            <sz val="9"/>
            <color indexed="81"/>
            <rFont val="Tahoma"/>
            <family val="2"/>
          </rPr>
          <t xml:space="preserve">
Out of 114 patients who were dependent on red-blood-cell transfusions at baseline in the conventional care group
</t>
        </r>
        <r>
          <rPr>
            <b/>
            <sz val="9"/>
            <color indexed="81"/>
            <rFont val="Tahoma"/>
            <family val="2"/>
          </rPr>
          <t>Ed:</t>
        </r>
        <r>
          <rPr>
            <sz val="9"/>
            <color indexed="81"/>
            <rFont val="Tahoma"/>
            <family val="2"/>
          </rPr>
          <t xml:space="preserve">
For the entire conventional care arm</t>
        </r>
      </text>
    </comment>
    <comment ref="AX17" authorId="5" shapeId="0" xr:uid="{4E3E29D7-D705-41AF-BBFC-9B7AC2CC5E9A}">
      <text>
        <r>
          <rPr>
            <b/>
            <sz val="9"/>
            <color indexed="81"/>
            <rFont val="Tahoma"/>
            <family val="2"/>
          </rPr>
          <t>Denis:</t>
        </r>
        <r>
          <rPr>
            <sz val="9"/>
            <color indexed="81"/>
            <rFont val="Tahoma"/>
            <family val="2"/>
          </rPr>
          <t xml:space="preserve">
Baseline 0-2 progressed to grade 3 or 4 during treatment: 48/79 (61%)</t>
        </r>
      </text>
    </comment>
    <comment ref="AZ17" authorId="5" shapeId="0" xr:uid="{893B6716-DCE5-42A0-ABF8-3EC35677409D}">
      <text>
        <r>
          <rPr>
            <b/>
            <sz val="9"/>
            <color indexed="81"/>
            <rFont val="Tahoma"/>
            <family val="2"/>
          </rPr>
          <t>Denis:</t>
        </r>
        <r>
          <rPr>
            <sz val="9"/>
            <color indexed="81"/>
            <rFont val="Tahoma"/>
            <family val="2"/>
          </rPr>
          <t xml:space="preserve">
Baseline 0-2 progressed to grade 3 or 4 during treatment: 22/46 (48%)</t>
        </r>
      </text>
    </comment>
    <comment ref="BD17" authorId="5" shapeId="0" xr:uid="{71446DC8-8133-4A19-BC22-7F08E780E6AF}">
      <text>
        <r>
          <rPr>
            <b/>
            <sz val="9"/>
            <color indexed="81"/>
            <rFont val="Tahoma"/>
            <family val="2"/>
          </rPr>
          <t>Denis:</t>
        </r>
        <r>
          <rPr>
            <sz val="9"/>
            <color indexed="81"/>
            <rFont val="Tahoma"/>
            <family val="2"/>
          </rPr>
          <t xml:space="preserve">
Baseline 0-2 progressed to grade 3 or 4 during treatment: 29/54 (54%)</t>
        </r>
      </text>
    </comment>
    <comment ref="F18" authorId="3" shapeId="0" xr:uid="{D88212AC-D147-4728-9FCD-276C6E64DE18}">
      <text>
        <r>
          <rPr>
            <sz val="9"/>
            <color rgb="FF000000"/>
            <rFont val="Tahoma"/>
            <family val="2"/>
          </rPr>
          <t xml:space="preserve">AZA data were extracted from only LDAC subgroup unless specified.
</t>
        </r>
        <r>
          <rPr>
            <sz val="9"/>
            <color rgb="FF000000"/>
            <rFont val="Tahoma"/>
            <family val="2"/>
          </rPr>
          <t>Total number of patients reveived AZA was 55.</t>
        </r>
      </text>
    </comment>
    <comment ref="Z18" authorId="1" shapeId="0" xr:uid="{AB291638-ABF8-41E6-947A-74B2BFB2D6C1}">
      <text>
        <r>
          <rPr>
            <b/>
            <sz val="9"/>
            <color indexed="81"/>
            <rFont val="Tahoma"/>
            <family val="2"/>
          </rPr>
          <t>Christina Kwon:</t>
        </r>
        <r>
          <rPr>
            <sz val="9"/>
            <color indexed="81"/>
            <rFont val="Tahoma"/>
            <family val="2"/>
          </rPr>
          <t xml:space="preserve">
Intermediate including normal
Normal 5 (35.7%)</t>
        </r>
      </text>
    </comment>
    <comment ref="AB18" authorId="3" shapeId="0" xr:uid="{A1A30EE2-1E59-4A1A-9660-523E30E08F8D}">
      <text>
        <r>
          <rPr>
            <b/>
            <sz val="9"/>
            <color indexed="81"/>
            <rFont val="Tahoma"/>
            <family val="2"/>
          </rPr>
          <t>median cycles was eight 
8X28 = 224</t>
        </r>
      </text>
    </comment>
    <comment ref="AJ18" authorId="3" shapeId="0" xr:uid="{9A1C9853-D2DE-408E-8393-947727092F90}">
      <text>
        <r>
          <rPr>
            <sz val="9"/>
            <color indexed="81"/>
            <rFont val="Tahoma"/>
            <family val="2"/>
          </rPr>
          <t>Total patient number received AZA</t>
        </r>
      </text>
    </comment>
    <comment ref="AL18" authorId="3" shapeId="0" xr:uid="{2EC097C7-0E10-4F6C-98C1-3765A52A52B0}">
      <text>
        <r>
          <rPr>
            <b/>
            <sz val="9"/>
            <color indexed="81"/>
            <rFont val="Tahoma"/>
            <family val="2"/>
          </rPr>
          <t>pooled data of three intervention</t>
        </r>
      </text>
    </comment>
    <comment ref="AT18" authorId="4" shapeId="0" xr:uid="{8E5B81F6-C7D7-4B95-97D3-30A95A62F564}">
      <text>
        <r>
          <rPr>
            <b/>
            <sz val="9"/>
            <color indexed="81"/>
            <rFont val="Tahoma"/>
            <family val="2"/>
          </rPr>
          <t>Ed:</t>
        </r>
        <r>
          <rPr>
            <sz val="9"/>
            <color indexed="81"/>
            <rFont val="Tahoma"/>
            <family val="2"/>
          </rPr>
          <t xml:space="preserve">
Investigator preselection analysis, 7 of 10 patients achieved RBC transfusion
independence (70.0%)</t>
        </r>
      </text>
    </comment>
    <comment ref="AW18" authorId="1" shapeId="0" xr:uid="{DA0F0F91-CBFA-4FCB-967F-E5F55B6A88E0}">
      <text>
        <r>
          <rPr>
            <b/>
            <sz val="9"/>
            <color indexed="81"/>
            <rFont val="Tahoma"/>
            <family val="2"/>
          </rPr>
          <t>Christina Kwon:</t>
        </r>
        <r>
          <rPr>
            <sz val="9"/>
            <color indexed="81"/>
            <rFont val="Tahoma"/>
            <family val="2"/>
          </rPr>
          <t xml:space="preserve">
Most common grade 3 or 4 hematologic AE were reported</t>
        </r>
      </text>
    </comment>
    <comment ref="F19" authorId="3" shapeId="0" xr:uid="{CC64EF75-C181-410F-9819-496967AD7F55}">
      <text>
        <r>
          <rPr>
            <sz val="9"/>
            <color indexed="81"/>
            <rFont val="Tahoma"/>
            <family val="2"/>
          </rPr>
          <t>extracted from only LDAC sub group among three interventions (best supportive care only (n=27), intensive chemotherapy (n=11), and LDAC (n=20))</t>
        </r>
      </text>
    </comment>
    <comment ref="Z19" authorId="1" shapeId="0" xr:uid="{E330A12D-4556-4620-8D44-91D5A24E1063}">
      <text>
        <r>
          <rPr>
            <b/>
            <sz val="9"/>
            <color indexed="81"/>
            <rFont val="Tahoma"/>
            <family val="2"/>
          </rPr>
          <t>Christina Kwon:</t>
        </r>
        <r>
          <rPr>
            <sz val="9"/>
            <color indexed="81"/>
            <rFont val="Tahoma"/>
            <family val="2"/>
          </rPr>
          <t xml:space="preserve">
Intermediate including normal
Normal 15 (75.0%)</t>
        </r>
      </text>
    </comment>
    <comment ref="AB19" authorId="3" shapeId="0" xr:uid="{C18C1A66-B5E5-4793-AD1E-7A4B631F712E}">
      <text>
        <r>
          <rPr>
            <b/>
            <sz val="9"/>
            <color indexed="81"/>
            <rFont val="Tahoma"/>
            <family val="2"/>
          </rPr>
          <t xml:space="preserve">median number of cycles was 5.5 
5.5X28=154
</t>
        </r>
      </text>
    </comment>
    <comment ref="AT19" authorId="4" shapeId="0" xr:uid="{5D5DDD0B-B0C6-4DAA-BE77-E06AE5F87A62}">
      <text>
        <r>
          <rPr>
            <b/>
            <sz val="9"/>
            <color indexed="81"/>
            <rFont val="Tahoma"/>
            <family val="2"/>
          </rPr>
          <t>Ed:</t>
        </r>
        <r>
          <rPr>
            <sz val="9"/>
            <color indexed="81"/>
            <rFont val="Tahoma"/>
            <family val="2"/>
          </rPr>
          <t xml:space="preserve">
Investigator preselection analysis, 2 of 12 patients achieved RBC transfusion
independence (16.7%)</t>
        </r>
      </text>
    </comment>
    <comment ref="Q20" authorId="5" shapeId="0" xr:uid="{B2792AC9-8BD3-4CA1-B8C1-2007B5ADB8EF}">
      <text>
        <r>
          <rPr>
            <b/>
            <sz val="9"/>
            <color indexed="81"/>
            <rFont val="Tahoma"/>
            <family val="2"/>
          </rPr>
          <t>Denis:</t>
        </r>
        <r>
          <rPr>
            <sz val="9"/>
            <color indexed="81"/>
            <rFont val="Tahoma"/>
            <family val="2"/>
          </rPr>
          <t xml:space="preserve">
RAEB-t + Other (including 19 AML, one unclassifiable acute leukemia, and one undefined MDS)
27 (27%) + 11 (11%) = 38 (38%)
</t>
        </r>
      </text>
    </comment>
    <comment ref="R20" authorId="5" shapeId="0" xr:uid="{F03AEF73-5E0D-4F06-ABA0-9E06990514BE}">
      <text>
        <r>
          <rPr>
            <b/>
            <sz val="9"/>
            <color indexed="81"/>
            <rFont val="Tahoma"/>
            <family val="2"/>
          </rPr>
          <t>Denis:</t>
        </r>
        <r>
          <rPr>
            <sz val="9"/>
            <color indexed="81"/>
            <rFont val="Tahoma"/>
            <family val="2"/>
          </rPr>
          <t xml:space="preserve">
RA + RARS+ RAEB :
17 (17%) + 5 (5%) + 32 (32%) </t>
        </r>
      </text>
    </comment>
    <comment ref="AA20" authorId="1" shapeId="0" xr:uid="{C71CCBC8-1CEE-4BAE-A2FA-13EF94290E99}">
      <text>
        <r>
          <rPr>
            <b/>
            <sz val="9"/>
            <color indexed="81"/>
            <rFont val="Tahoma"/>
            <family val="2"/>
          </rPr>
          <t>Christina Kwon:</t>
        </r>
        <r>
          <rPr>
            <sz val="9"/>
            <color indexed="81"/>
            <rFont val="Tahoma"/>
            <family val="2"/>
          </rPr>
          <t xml:space="preserve">
IPSS risk high 7 (9%)</t>
        </r>
      </text>
    </comment>
    <comment ref="AB20" authorId="5" shapeId="0" xr:uid="{F6EB1B9F-7162-45C6-954A-27284920F8BE}">
      <text>
        <r>
          <rPr>
            <b/>
            <sz val="9"/>
            <color indexed="81"/>
            <rFont val="Tahoma"/>
            <family val="2"/>
          </rPr>
          <t>Denis:</t>
        </r>
        <r>
          <rPr>
            <sz val="9"/>
            <color indexed="81"/>
            <rFont val="Tahoma"/>
            <family val="2"/>
          </rPr>
          <t xml:space="preserve">
Four 28-day cycles</t>
        </r>
      </text>
    </comment>
    <comment ref="AT20" authorId="4" shapeId="0" xr:uid="{E3ABC280-0BB7-4145-BDCE-3B8222FCC405}">
      <text>
        <r>
          <rPr>
            <b/>
            <sz val="9"/>
            <color indexed="81"/>
            <rFont val="Tahoma"/>
            <family val="2"/>
          </rPr>
          <t>Ed:</t>
        </r>
        <r>
          <rPr>
            <sz val="9"/>
            <color indexed="81"/>
            <rFont val="Tahoma"/>
            <family val="2"/>
          </rPr>
          <t xml:space="preserve">
65 patients receiving RBC transfusions at study entry</t>
        </r>
      </text>
    </comment>
    <comment ref="BD20" authorId="5" shapeId="0" xr:uid="{7D81EC45-9886-4E13-942B-B1A9CAFE98D2}">
      <text>
        <r>
          <rPr>
            <b/>
            <sz val="9"/>
            <color indexed="81"/>
            <rFont val="Tahoma"/>
            <family val="2"/>
          </rPr>
          <t>Ed:</t>
        </r>
        <r>
          <rPr>
            <sz val="9"/>
            <color indexed="81"/>
            <rFont val="Tahoma"/>
            <family val="2"/>
          </rPr>
          <t xml:space="preserve">
CALGB criteria: 70%
reassesed score: 52%</t>
        </r>
      </text>
    </comment>
    <comment ref="BN20" authorId="5" shapeId="0" xr:uid="{D517AC16-0258-4BDE-990E-E276FC3C6037}">
      <text>
        <r>
          <rPr>
            <b/>
            <sz val="9"/>
            <color indexed="81"/>
            <rFont val="Tahoma"/>
            <family val="2"/>
          </rPr>
          <t>Ed:</t>
        </r>
        <r>
          <rPr>
            <sz val="9"/>
            <color indexed="81"/>
            <rFont val="Tahoma"/>
            <family val="2"/>
          </rPr>
          <t xml:space="preserve">
CALGB criteria: 59%
reassesed score: 43%</t>
        </r>
      </text>
    </comment>
    <comment ref="Q21" authorId="5" shapeId="0" xr:uid="{B9EBC38E-1B60-4D34-89B5-286D84B70495}">
      <text>
        <r>
          <rPr>
            <b/>
            <sz val="9"/>
            <color indexed="81"/>
            <rFont val="Tahoma"/>
            <family val="2"/>
          </rPr>
          <t>Denis:</t>
        </r>
        <r>
          <rPr>
            <sz val="9"/>
            <color indexed="81"/>
            <rFont val="Tahoma"/>
            <family val="2"/>
          </rPr>
          <t xml:space="preserve">
RAEB-t + Other (including 19 AML, one unclassifiable acute leukemia, and one undefined MDS)
18 (20%) + 10 (11%) = 28 (31%)
</t>
        </r>
      </text>
    </comment>
    <comment ref="R21" authorId="5" shapeId="0" xr:uid="{C817AE7F-B92B-4DA3-9AFD-8D1316A912F1}">
      <text>
        <r>
          <rPr>
            <b/>
            <sz val="9"/>
            <color indexed="81"/>
            <rFont val="Tahoma"/>
            <family val="2"/>
          </rPr>
          <t>Denis:</t>
        </r>
        <r>
          <rPr>
            <sz val="9"/>
            <color indexed="81"/>
            <rFont val="Tahoma"/>
            <family val="2"/>
          </rPr>
          <t xml:space="preserve">
RA + RARS+ RAEB:
20 (22%) +3 (3%) + 34 (37%) </t>
        </r>
      </text>
    </comment>
    <comment ref="AA21" authorId="1" shapeId="0" xr:uid="{60D85729-CEB0-4FD8-9B89-6D9290C2F22B}">
      <text>
        <r>
          <rPr>
            <b/>
            <sz val="9"/>
            <color indexed="81"/>
            <rFont val="Tahoma"/>
            <family val="2"/>
          </rPr>
          <t>Christina Kwon:</t>
        </r>
        <r>
          <rPr>
            <sz val="9"/>
            <color indexed="81"/>
            <rFont val="Tahoma"/>
            <family val="2"/>
          </rPr>
          <t xml:space="preserve">
IPSS risk high 8 (10%)</t>
        </r>
      </text>
    </comment>
    <comment ref="B22" authorId="1" shapeId="0" xr:uid="{578BECE6-C1FF-4A9B-AFDB-0E420AD29005}">
      <text>
        <r>
          <rPr>
            <b/>
            <sz val="9"/>
            <color rgb="FF000000"/>
            <rFont val="Tahoma"/>
            <family val="2"/>
          </rPr>
          <t>Christina Kwon:</t>
        </r>
        <r>
          <rPr>
            <sz val="9"/>
            <color rgb="FF000000"/>
            <rFont val="Tahoma"/>
            <family val="2"/>
          </rPr>
          <t xml:space="preserve">
</t>
        </r>
        <r>
          <rPr>
            <sz val="9"/>
            <color rgb="FF000000"/>
            <rFont val="Tahoma"/>
            <family val="2"/>
          </rPr>
          <t>Results on clinicaltrials.gov is also used for data extraction</t>
        </r>
      </text>
    </comment>
    <comment ref="L22" authorId="1" shapeId="0" xr:uid="{D4307779-EAC9-491E-8FD1-AA302646FAB3}">
      <text>
        <r>
          <rPr>
            <b/>
            <sz val="9"/>
            <color indexed="81"/>
            <rFont val="Tahoma"/>
            <family val="2"/>
          </rPr>
          <t>Christina Kwon:</t>
        </r>
        <r>
          <rPr>
            <sz val="9"/>
            <color indexed="81"/>
            <rFont val="Tahoma"/>
            <family val="2"/>
          </rPr>
          <t xml:space="preserve">
From clinicaltrials.gov</t>
        </r>
      </text>
    </comment>
    <comment ref="M22" authorId="1" shapeId="0" xr:uid="{EF5936C3-F6F5-4F60-B133-02F1E8569F2F}">
      <text>
        <r>
          <rPr>
            <b/>
            <sz val="9"/>
            <color indexed="81"/>
            <rFont val="Tahoma"/>
            <family val="2"/>
          </rPr>
          <t>Christina Kwon:</t>
        </r>
        <r>
          <rPr>
            <sz val="9"/>
            <color indexed="81"/>
            <rFont val="Tahoma"/>
            <family val="2"/>
          </rPr>
          <t xml:space="preserve">
Weighted average</t>
        </r>
      </text>
    </comment>
    <comment ref="N22" authorId="1" shapeId="0" xr:uid="{F2630626-08CB-4546-ACA1-7089A8A93FFC}">
      <text>
        <r>
          <rPr>
            <b/>
            <sz val="9"/>
            <color indexed="81"/>
            <rFont val="Tahoma"/>
            <family val="2"/>
          </rPr>
          <t>Christina Kwon:</t>
        </r>
        <r>
          <rPr>
            <sz val="9"/>
            <color indexed="81"/>
            <rFont val="Tahoma"/>
            <family val="2"/>
          </rPr>
          <t xml:space="preserve">
From clinicaltrials.gov</t>
        </r>
      </text>
    </comment>
    <comment ref="L23" authorId="1" shapeId="0" xr:uid="{B78FCDDD-7052-4037-924A-D36F3123BD9B}">
      <text>
        <r>
          <rPr>
            <b/>
            <sz val="9"/>
            <color indexed="81"/>
            <rFont val="Tahoma"/>
            <family val="2"/>
          </rPr>
          <t>Christina Kwon:</t>
        </r>
        <r>
          <rPr>
            <sz val="9"/>
            <color indexed="81"/>
            <rFont val="Tahoma"/>
            <family val="2"/>
          </rPr>
          <t xml:space="preserve">
From clinicaltrials.gov</t>
        </r>
      </text>
    </comment>
    <comment ref="N23" authorId="1" shapeId="0" xr:uid="{82F0E417-C196-47A8-B5A9-34D10143E100}">
      <text>
        <r>
          <rPr>
            <b/>
            <sz val="9"/>
            <color indexed="81"/>
            <rFont val="Tahoma"/>
            <family val="2"/>
          </rPr>
          <t>Christina Kwon:</t>
        </r>
        <r>
          <rPr>
            <sz val="9"/>
            <color indexed="81"/>
            <rFont val="Tahoma"/>
            <family val="2"/>
          </rPr>
          <t xml:space="preserve">
From clinicaltrials.gov</t>
        </r>
      </text>
    </comment>
    <comment ref="AB24" authorId="1" shapeId="0" xr:uid="{DD26F912-CC32-40F7-AA30-E7268E5B599C}">
      <text>
        <r>
          <rPr>
            <b/>
            <sz val="9"/>
            <color indexed="81"/>
            <rFont val="Tahoma"/>
            <family val="2"/>
          </rPr>
          <t>Christina Kwon:</t>
        </r>
        <r>
          <rPr>
            <sz val="9"/>
            <color indexed="81"/>
            <rFont val="Tahoma"/>
            <family val="2"/>
          </rPr>
          <t xml:space="preserve">
Median number of cycles administered was 3
Ed Kim:
Courses repeated every 3 to 8 weeks.. Duration cannot be estimated</t>
        </r>
      </text>
    </comment>
    <comment ref="AK24" authorId="2" shapeId="0" xr:uid="{1544AFB5-8290-481A-A803-DDC96F2F934F}">
      <text>
        <r>
          <rPr>
            <b/>
            <sz val="9"/>
            <color indexed="81"/>
            <rFont val="Tahoma"/>
            <family val="2"/>
          </rPr>
          <t>Ed Kim:</t>
        </r>
        <r>
          <rPr>
            <sz val="9"/>
            <color indexed="81"/>
            <rFont val="Tahoma"/>
            <family val="2"/>
          </rPr>
          <t xml:space="preserve">
based on the pt level data</t>
        </r>
      </text>
    </comment>
    <comment ref="AQ24" authorId="1" shapeId="0" xr:uid="{731A087D-9B89-40EC-84D5-3C806F26697C}">
      <text>
        <r>
          <rPr>
            <b/>
            <sz val="9"/>
            <color indexed="81"/>
            <rFont val="Tahoma"/>
            <family val="2"/>
          </rPr>
          <t>Christina Kwon:</t>
        </r>
        <r>
          <rPr>
            <sz val="9"/>
            <color indexed="81"/>
            <rFont val="Tahoma"/>
            <family val="2"/>
          </rPr>
          <t xml:space="preserve">
Median number of cycles to response was 2 (1–12) </t>
        </r>
      </text>
    </comment>
    <comment ref="BM24" authorId="0" shapeId="0" xr:uid="{6BF5F296-5F2E-460F-A758-CC09955E3394}">
      <text>
        <r>
          <rPr>
            <b/>
            <sz val="9"/>
            <color indexed="81"/>
            <rFont val="Tahoma"/>
            <family val="2"/>
          </rPr>
          <t>Anastasiya Shor:</t>
        </r>
        <r>
          <rPr>
            <sz val="9"/>
            <color indexed="81"/>
            <rFont val="Tahoma"/>
            <family val="2"/>
          </rPr>
          <t xml:space="preserve">
opportunistic</t>
        </r>
      </text>
    </comment>
    <comment ref="AK25" authorId="2" shapeId="0" xr:uid="{DF362D57-23BF-4FA3-B345-145FEBE2A30E}">
      <text>
        <r>
          <rPr>
            <b/>
            <sz val="9"/>
            <color indexed="81"/>
            <rFont val="Tahoma"/>
            <family val="2"/>
          </rPr>
          <t>Ed Kim:</t>
        </r>
        <r>
          <rPr>
            <sz val="9"/>
            <color indexed="81"/>
            <rFont val="Tahoma"/>
            <family val="2"/>
          </rPr>
          <t xml:space="preserve">
based on the pt level data</t>
        </r>
      </text>
    </comment>
    <comment ref="BM25" authorId="0" shapeId="0" xr:uid="{E8039382-F004-439A-8479-337E57AC2D9F}">
      <text>
        <r>
          <rPr>
            <b/>
            <sz val="9"/>
            <color indexed="81"/>
            <rFont val="Tahoma"/>
            <family val="2"/>
          </rPr>
          <t>Anastasiya Shor:</t>
        </r>
        <r>
          <rPr>
            <sz val="9"/>
            <color indexed="81"/>
            <rFont val="Tahoma"/>
            <family val="2"/>
          </rPr>
          <t xml:space="preserve">
opportunistic</t>
        </r>
      </text>
    </comment>
    <comment ref="H26" authorId="2" shapeId="0" xr:uid="{BD27B4D9-CAE8-4385-A3D9-AC4C4F6A6093}">
      <text>
        <r>
          <rPr>
            <b/>
            <sz val="9"/>
            <color indexed="81"/>
            <rFont val="Tahoma"/>
            <family val="2"/>
          </rPr>
          <t>Ed Kim:</t>
        </r>
        <r>
          <rPr>
            <sz val="9"/>
            <color indexed="81"/>
            <rFont val="Tahoma"/>
            <family val="2"/>
          </rPr>
          <t xml:space="preserve">
Myelodysplasia-related changes = multilineage dysplasia, prior history of MDS, or MDS-related cytogenetic abnormalities</t>
        </r>
      </text>
    </comment>
    <comment ref="AB26" authorId="5" shapeId="0" xr:uid="{4580692F-380D-4195-97C3-8253DF97583C}">
      <text>
        <r>
          <rPr>
            <b/>
            <sz val="9"/>
            <color indexed="81"/>
            <rFont val="Tahoma"/>
            <family val="2"/>
          </rPr>
          <t>Denis:</t>
        </r>
        <r>
          <rPr>
            <sz val="9"/>
            <color indexed="81"/>
            <rFont val="Tahoma"/>
            <family val="2"/>
          </rPr>
          <t xml:space="preserve">
5 cycles * 28-day treatment cycle</t>
        </r>
      </text>
    </comment>
    <comment ref="AH26" authorId="4" shapeId="0" xr:uid="{D7919414-6381-414A-A572-02596E1710DB}">
      <text>
        <r>
          <rPr>
            <b/>
            <sz val="9"/>
            <color indexed="81"/>
            <rFont val="Tahoma"/>
            <family val="2"/>
          </rPr>
          <t>Denis:</t>
        </r>
        <r>
          <rPr>
            <sz val="9"/>
            <color indexed="81"/>
            <rFont val="Tahoma"/>
            <family val="2"/>
          </rPr>
          <t xml:space="preserve">
Statistically significant (p-value not reported)</t>
        </r>
      </text>
    </comment>
    <comment ref="BM26" authorId="2" shapeId="0" xr:uid="{80EFEABA-0C59-4CD6-8BA2-ACE5DC789B5D}">
      <text>
        <r>
          <rPr>
            <b/>
            <sz val="9"/>
            <color indexed="81"/>
            <rFont val="Tahoma"/>
            <family val="2"/>
          </rPr>
          <t>Ed Kim:</t>
        </r>
        <r>
          <rPr>
            <sz val="9"/>
            <color indexed="81"/>
            <rFont val="Tahoma"/>
            <family val="2"/>
          </rPr>
          <t xml:space="preserve">
sepsis + PNA
</t>
        </r>
      </text>
    </comment>
    <comment ref="BQ26" authorId="2" shapeId="0" xr:uid="{548F6F52-9B13-4196-A2A2-120E25B354DF}">
      <text>
        <r>
          <rPr>
            <b/>
            <sz val="9"/>
            <color indexed="81"/>
            <rFont val="Tahoma"/>
            <family val="2"/>
          </rPr>
          <t>Ed Kim:</t>
        </r>
        <r>
          <rPr>
            <sz val="9"/>
            <color indexed="81"/>
            <rFont val="Tahoma"/>
            <family val="2"/>
          </rPr>
          <t xml:space="preserve">
clinicaltrials.gov</t>
        </r>
      </text>
    </comment>
    <comment ref="BS26" authorId="1" shapeId="0" xr:uid="{8C13697D-5537-42A8-9C49-41F2753C56EC}">
      <text>
        <r>
          <rPr>
            <b/>
            <sz val="9"/>
            <color indexed="81"/>
            <rFont val="Tahoma"/>
            <family val="2"/>
          </rPr>
          <t>Christina Kwon:</t>
        </r>
        <r>
          <rPr>
            <sz val="9"/>
            <color indexed="81"/>
            <rFont val="Tahoma"/>
            <family val="2"/>
          </rPr>
          <t xml:space="preserve">
Extracted from Dombret Blod 2015</t>
        </r>
      </text>
    </comment>
    <comment ref="F27" authorId="2" shapeId="0" xr:uid="{5AE0C117-D1C7-4F85-987F-A4B4B69B3761}">
      <text>
        <r>
          <rPr>
            <b/>
            <sz val="9"/>
            <color indexed="81"/>
            <rFont val="Tahoma"/>
            <family val="2"/>
          </rPr>
          <t>Ed Kim:</t>
        </r>
        <r>
          <rPr>
            <sz val="9"/>
            <color indexed="81"/>
            <rFont val="Tahoma"/>
            <family val="2"/>
          </rPr>
          <t xml:space="preserve">
1 Intensive Chemotherapy:Cytarabine 100-200 mg/m2 as a continuous intravenous infusion (CIVI) for 7 days and daunorubicin 45 to 60 mg/m² daily (QD) IV on Days 1, 2 and 3 or Idarubicin 9-12 mg/m² IV QD for 3 days. Consolidation Therapy (Cycle 2 and 3) = Cytarabine 100-200 mg/m2 as a CIVI for 3 to 7 days and daunorubicin 45 to 60 mg/m² QD or Idarubicin 9-12 mg/m² IV QD on Days 1 and 2. The first consolidation therapy started between Day 28 and Day 70 from start of induction therapy, upon recovery of absolute neutrophil count (ANC) above 1.0 x 10^9/L and platelets above 75 x 10^9/L. The second cycle started between Day 28 and Day 70 from start of first consolidation therapy. Best supportive care (BSC) of antibiotics and transfusions, were given as needed
2 Low-dose cytarabine 20 mg subcutaneously twice a day (BID) for 10 days every 28 days, plus BSC
3 BSC only = transfusion of blood products, antibiotics, antifungals and nutritional help</t>
        </r>
      </text>
    </comment>
    <comment ref="AB27" authorId="2" shapeId="0" xr:uid="{F5938AF9-3890-4CD5-B4A6-1D3837F091EE}">
      <text>
        <r>
          <rPr>
            <b/>
            <sz val="9"/>
            <color indexed="81"/>
            <rFont val="Tahoma"/>
            <family val="2"/>
          </rPr>
          <t>Ed Kim:</t>
        </r>
        <r>
          <rPr>
            <sz val="9"/>
            <color indexed="81"/>
            <rFont val="Tahoma"/>
            <family val="2"/>
          </rPr>
          <t xml:space="preserve">
IC: 2 cycles
LDAC: 2 cycles * 28-day treatment cycles: 56 days
BSC: 3 cyc;es * 28-day treatment cycles: 84 days
CCR (IC n = 24, LDAC n = 79, BSC only n = 30)</t>
        </r>
      </text>
    </comment>
    <comment ref="BM27" authorId="2" shapeId="0" xr:uid="{5EE5EBA2-2B14-4C8F-AD96-81590652D92C}">
      <text>
        <r>
          <rPr>
            <b/>
            <sz val="9"/>
            <color indexed="81"/>
            <rFont val="Tahoma"/>
            <family val="2"/>
          </rPr>
          <t>Ed Kim:</t>
        </r>
        <r>
          <rPr>
            <sz val="9"/>
            <color indexed="81"/>
            <rFont val="Tahoma"/>
            <family val="2"/>
          </rPr>
          <t xml:space="preserve">
sepsis + PNA
</t>
        </r>
      </text>
    </comment>
    <comment ref="H28" authorId="2" shapeId="0" xr:uid="{E083BAE3-FD2C-47E3-B62D-7A39EA5B0C2D}">
      <text>
        <r>
          <rPr>
            <b/>
            <sz val="9"/>
            <color indexed="81"/>
            <rFont val="Tahoma"/>
            <family val="2"/>
          </rPr>
          <t>Ed Kim:</t>
        </r>
        <r>
          <rPr>
            <sz val="9"/>
            <color indexed="81"/>
            <rFont val="Tahoma"/>
            <family val="2"/>
          </rPr>
          <t xml:space="preserve">
Myelodysplasia-related changes = multilineage dysplasia, prior history of MDS, or MDS-related cytogenetic abnormalities</t>
        </r>
      </text>
    </comment>
    <comment ref="K28" authorId="2" shapeId="0" xr:uid="{ECEA4271-DD88-48C2-BD0B-A5402C62CC29}">
      <text>
        <r>
          <rPr>
            <b/>
            <sz val="9"/>
            <color indexed="81"/>
            <rFont val="Tahoma"/>
            <family val="2"/>
          </rPr>
          <t>Ed Kim:</t>
        </r>
        <r>
          <rPr>
            <sz val="9"/>
            <color indexed="81"/>
            <rFont val="Tahoma"/>
            <family val="2"/>
          </rPr>
          <t xml:space="preserve">
sub-group of 262 patients</t>
        </r>
      </text>
    </comment>
    <comment ref="AB28" authorId="5" shapeId="0" xr:uid="{0768D288-7801-440E-8127-977E59DDCBF4}">
      <text>
        <r>
          <rPr>
            <b/>
            <sz val="9"/>
            <color indexed="81"/>
            <rFont val="Tahoma"/>
            <family val="2"/>
          </rPr>
          <t>Denis:</t>
        </r>
        <r>
          <rPr>
            <sz val="9"/>
            <color indexed="81"/>
            <rFont val="Tahoma"/>
            <family val="2"/>
          </rPr>
          <t xml:space="preserve">
6 cycles * 28-day treatment cycle</t>
        </r>
      </text>
    </comment>
    <comment ref="AB29" authorId="5" shapeId="0" xr:uid="{9C8495A7-B1B3-46F2-B0C1-B54709692244}">
      <text>
        <r>
          <rPr>
            <b/>
            <sz val="9"/>
            <color indexed="81"/>
            <rFont val="Tahoma"/>
            <family val="2"/>
          </rPr>
          <t>Denis:</t>
        </r>
        <r>
          <rPr>
            <sz val="9"/>
            <color indexed="81"/>
            <rFont val="Tahoma"/>
            <family val="2"/>
          </rPr>
          <t xml:space="preserve">
2 cycles * 28-day treatment cycle</t>
        </r>
      </text>
    </comment>
    <comment ref="R30" authorId="5" shapeId="0" xr:uid="{4424F56C-A444-4F25-B350-E7DF91BC4D7D}">
      <text>
        <r>
          <rPr>
            <b/>
            <sz val="9"/>
            <color indexed="81"/>
            <rFont val="Tahoma"/>
            <family val="2"/>
          </rPr>
          <t>Denis:</t>
        </r>
        <r>
          <rPr>
            <sz val="9"/>
            <color indexed="81"/>
            <rFont val="Tahoma"/>
            <family val="2"/>
          </rPr>
          <t xml:space="preserve">
Prior history of MDS: 44 (34.0%)</t>
        </r>
      </text>
    </comment>
    <comment ref="V30" authorId="5" shapeId="0" xr:uid="{6F736ED3-67D0-4E5F-B1E8-7FBC7A38C7E1}">
      <text>
        <r>
          <rPr>
            <b/>
            <sz val="9"/>
            <color indexed="81"/>
            <rFont val="Tahoma"/>
            <family val="2"/>
          </rPr>
          <t>Denis:</t>
        </r>
        <r>
          <rPr>
            <sz val="9"/>
            <color indexed="81"/>
            <rFont val="Tahoma"/>
            <family val="2"/>
          </rPr>
          <t xml:space="preserve">
PS 0-1</t>
        </r>
      </text>
    </comment>
    <comment ref="AB30" authorId="5" shapeId="0" xr:uid="{B49CD073-F434-4EBB-A48C-F8DA56FD69A5}">
      <text>
        <r>
          <rPr>
            <b/>
            <sz val="9"/>
            <color indexed="81"/>
            <rFont val="Tahoma"/>
            <family val="2"/>
          </rPr>
          <t>Denis:</t>
        </r>
        <r>
          <rPr>
            <sz val="9"/>
            <color indexed="81"/>
            <rFont val="Tahoma"/>
            <family val="2"/>
          </rPr>
          <t xml:space="preserve">
5 cycles * 28-day treatment cycle</t>
        </r>
      </text>
    </comment>
    <comment ref="BM30" authorId="5" shapeId="0" xr:uid="{4F059A89-9174-47BF-BC8A-D7035B3A9218}">
      <text>
        <r>
          <rPr>
            <b/>
            <sz val="9"/>
            <color indexed="81"/>
            <rFont val="Tahoma"/>
            <family val="2"/>
          </rPr>
          <t>Denis:</t>
        </r>
        <r>
          <rPr>
            <sz val="9"/>
            <color indexed="81"/>
            <rFont val="Tahoma"/>
            <family val="2"/>
          </rPr>
          <t xml:space="preserve">
Sepsis</t>
        </r>
      </text>
    </comment>
    <comment ref="F31" authorId="2" shapeId="0" xr:uid="{05E0B955-1BD9-4C89-AD2A-188A9A202C21}">
      <text>
        <r>
          <rPr>
            <b/>
            <sz val="9"/>
            <color indexed="81"/>
            <rFont val="Tahoma"/>
            <family val="2"/>
          </rPr>
          <t>Ed Kim:</t>
        </r>
        <r>
          <rPr>
            <sz val="9"/>
            <color indexed="81"/>
            <rFont val="Tahoma"/>
            <family val="2"/>
          </rPr>
          <t xml:space="preserve">
1 Intensive Chemotherapy:Cytarabine 100-200 mg/m2 as a continuous intravenous infusion (CIVI) for 7 days and daunorubicin 45 to 60 mg/m² daily (QD) IV on Days 1, 2 and 3 or Idarubicin 9-12 mg/m² IV QD for 3 days. Consolidation Therapy (Cycle 2 and 3) = Cytarabine 100-200 mg/m2 as a CIVI for 3 to 7 days and daunorubicin 45 to 60 mg/m² QD or Idarubicin 9-12 mg/m² IV QD on Days 1 and 2. The first consolidation therapy started between Day 28 and Day 70 from start of induction therapy, upon recovery of absolute neutrophil count (ANC) above 1.0 x 10^9/L and platelets above 75 x 10^9/L. The second cycle started between Day 28 and Day 70 from start of first consolidation therapy. Best supportive care (BSC) of antibiotics and transfusions, were given as needed
2 Low-dose cytarabine 20 mg subcutaneously twice a day (BID) for 10 days every 28 days, plus BSC
3 BSC only = transfusion of blood products, antibiotics, antifungals and nutritional help</t>
        </r>
      </text>
    </comment>
    <comment ref="R31" authorId="5" shapeId="0" xr:uid="{5AC26697-3280-4915-BF7E-F3EB4B0B7B9D}">
      <text>
        <r>
          <rPr>
            <b/>
            <sz val="9"/>
            <color indexed="81"/>
            <rFont val="Tahoma"/>
            <family val="2"/>
          </rPr>
          <t>Denis:</t>
        </r>
        <r>
          <rPr>
            <sz val="9"/>
            <color indexed="81"/>
            <rFont val="Tahoma"/>
            <family val="2"/>
          </rPr>
          <t xml:space="preserve">
Prior history of MDS:  35 (26.0%)</t>
        </r>
      </text>
    </comment>
    <comment ref="V31" authorId="5" shapeId="0" xr:uid="{69A9BD24-EE99-4495-9782-11B8B93F4647}">
      <text>
        <r>
          <rPr>
            <b/>
            <sz val="9"/>
            <color indexed="81"/>
            <rFont val="Tahoma"/>
            <family val="2"/>
          </rPr>
          <t>Denis:</t>
        </r>
        <r>
          <rPr>
            <sz val="9"/>
            <color indexed="81"/>
            <rFont val="Tahoma"/>
            <family val="2"/>
          </rPr>
          <t xml:space="preserve">
PS 0-1</t>
        </r>
      </text>
    </comment>
    <comment ref="AB31" authorId="5" shapeId="0" xr:uid="{59773990-9DC6-4B1F-A45D-D3082A33D441}">
      <text>
        <r>
          <rPr>
            <b/>
            <sz val="9"/>
            <color indexed="81"/>
            <rFont val="Tahoma"/>
            <family val="2"/>
          </rPr>
          <t>Denis:</t>
        </r>
        <r>
          <rPr>
            <sz val="9"/>
            <color indexed="81"/>
            <rFont val="Tahoma"/>
            <family val="2"/>
          </rPr>
          <t xml:space="preserve">
IC: 2 cycles
LDAC: 2 cycles * 28-day treatment cycles: 56 days
BSC: 3 cyc;es * 28-day treatment cycles: 84 days</t>
        </r>
      </text>
    </comment>
    <comment ref="AW31" authorId="5" shapeId="0" xr:uid="{46C11733-2BEE-41DF-B614-830F80B33873}">
      <text>
        <r>
          <rPr>
            <b/>
            <sz val="9"/>
            <color indexed="81"/>
            <rFont val="Tahoma"/>
            <family val="2"/>
          </rPr>
          <t>Denis:</t>
        </r>
        <r>
          <rPr>
            <sz val="9"/>
            <color indexed="81"/>
            <rFont val="Tahoma"/>
            <family val="2"/>
          </rPr>
          <t xml:space="preserve">
TEAEs, grade 3-4</t>
        </r>
      </text>
    </comment>
    <comment ref="BM31" authorId="5" shapeId="0" xr:uid="{E6E0FC4A-820F-44F0-9780-C9CB2FF07A8F}">
      <text>
        <r>
          <rPr>
            <b/>
            <sz val="9"/>
            <color indexed="81"/>
            <rFont val="Tahoma"/>
            <family val="2"/>
          </rPr>
          <t>Denis:</t>
        </r>
        <r>
          <rPr>
            <sz val="9"/>
            <color indexed="81"/>
            <rFont val="Tahoma"/>
            <family val="2"/>
          </rPr>
          <t xml:space="preserve">
Sepsis</t>
        </r>
      </text>
    </comment>
    <comment ref="K32" authorId="5" shapeId="0" xr:uid="{B92FCEC3-8166-4AF9-89E6-82BA91E0762D}">
      <text>
        <r>
          <rPr>
            <b/>
            <sz val="9"/>
            <color indexed="81"/>
            <rFont val="Tahoma"/>
            <family val="2"/>
          </rPr>
          <t>Denis:</t>
        </r>
        <r>
          <rPr>
            <sz val="9"/>
            <color indexed="81"/>
            <rFont val="Tahoma"/>
            <family val="2"/>
          </rPr>
          <t xml:space="preserve">
160/262 (not 160 additional patients)</t>
        </r>
      </text>
    </comment>
    <comment ref="R32" authorId="5" shapeId="0" xr:uid="{DF59F842-4DAC-4FEE-8E4E-F226FF7D9730}">
      <text>
        <r>
          <rPr>
            <b/>
            <sz val="9"/>
            <color indexed="81"/>
            <rFont val="Tahoma"/>
            <family val="2"/>
          </rPr>
          <t>Denis:</t>
        </r>
        <r>
          <rPr>
            <sz val="9"/>
            <color indexed="81"/>
            <rFont val="Tahoma"/>
            <family val="2"/>
          </rPr>
          <t xml:space="preserve">
Prior history of MDS: 44 (34.0%)</t>
        </r>
      </text>
    </comment>
    <comment ref="V32" authorId="5" shapeId="0" xr:uid="{F10EAB83-9D1D-40FC-8E6B-084AE1076F17}">
      <text>
        <r>
          <rPr>
            <b/>
            <sz val="9"/>
            <color indexed="81"/>
            <rFont val="Tahoma"/>
            <family val="2"/>
          </rPr>
          <t>Denis:</t>
        </r>
        <r>
          <rPr>
            <sz val="9"/>
            <color indexed="81"/>
            <rFont val="Tahoma"/>
            <family val="2"/>
          </rPr>
          <t xml:space="preserve">
PS 0-1</t>
        </r>
      </text>
    </comment>
    <comment ref="AB32" authorId="5" shapeId="0" xr:uid="{795ADD0F-1B8E-473A-8564-BEA302D3816E}">
      <text>
        <r>
          <rPr>
            <b/>
            <sz val="9"/>
            <color indexed="81"/>
            <rFont val="Tahoma"/>
            <family val="2"/>
          </rPr>
          <t>Denis:</t>
        </r>
        <r>
          <rPr>
            <sz val="9"/>
            <color indexed="81"/>
            <rFont val="Tahoma"/>
            <family val="2"/>
          </rPr>
          <t xml:space="preserve">
6 cycles * 28-day treatment cycle</t>
        </r>
      </text>
    </comment>
    <comment ref="F33" authorId="2" shapeId="0" xr:uid="{BC722D81-48BE-4F05-AF12-7C9C44EE954C}">
      <text>
        <r>
          <rPr>
            <b/>
            <sz val="9"/>
            <color indexed="81"/>
            <rFont val="Tahoma"/>
            <family val="2"/>
          </rPr>
          <t>Ed Kim:</t>
        </r>
        <r>
          <rPr>
            <sz val="9"/>
            <color indexed="81"/>
            <rFont val="Tahoma"/>
            <family val="2"/>
          </rPr>
          <t xml:space="preserve">
1 Intensive Chemotherapy:Cytarabine 100-200 mg/m2 as a continuous intravenous infusion (CIVI) for 7 days and daunorubicin 45 to 60 mg/m² daily (QD) IV on Days 1, 2 and 3 or Idarubicin 9-12 mg/m² IV QD for 3 days. Consolidation Therapy (Cycle 2 and 3) = Cytarabine 100-200 mg/m2 as a CIVI for 3 to 7 days and daunorubicin 45 to 60 mg/m² QD or Idarubicin 9-12 mg/m² IV QD on Days 1 and 2. The first consolidation therapy started between Day 28 and Day 70 from start of induction therapy, upon recovery of absolute neutrophil count (ANC) above 1.0 x 10^9/L and platelets above 75 x 10^9/L. The second cycle started between Day 28 and Day 70 from start of first consolidation therapy. Best supportive care (BSC) of antibiotics and transfusions, were given as needed
2 Low-dose cytarabine 20 mg subcutaneously twice a day (BID) for 10 days every 28 days, plus BSC
3 BSC only = transfusion of blood products, antibiotics, antifungals and nutritional help</t>
        </r>
      </text>
    </comment>
    <comment ref="R33" authorId="5" shapeId="0" xr:uid="{DF6C274A-B806-4319-94C4-ABBE4EEA2303}">
      <text>
        <r>
          <rPr>
            <b/>
            <sz val="9"/>
            <color indexed="81"/>
            <rFont val="Tahoma"/>
            <family val="2"/>
          </rPr>
          <t>Denis:</t>
        </r>
        <r>
          <rPr>
            <sz val="9"/>
            <color indexed="81"/>
            <rFont val="Tahoma"/>
            <family val="2"/>
          </rPr>
          <t xml:space="preserve">
Prior history of MDS:  35 (26.0%)</t>
        </r>
      </text>
    </comment>
    <comment ref="V33" authorId="5" shapeId="0" xr:uid="{BFE029CD-ED5E-4D59-8733-9263253834FA}">
      <text>
        <r>
          <rPr>
            <b/>
            <sz val="9"/>
            <color indexed="81"/>
            <rFont val="Tahoma"/>
            <family val="2"/>
          </rPr>
          <t>Denis:</t>
        </r>
        <r>
          <rPr>
            <sz val="9"/>
            <color indexed="81"/>
            <rFont val="Tahoma"/>
            <family val="2"/>
          </rPr>
          <t xml:space="preserve">
PS 0-1</t>
        </r>
      </text>
    </comment>
    <comment ref="AB33" authorId="5" shapeId="0" xr:uid="{914C3766-D740-4AA7-B855-C36A11C347FE}">
      <text>
        <r>
          <rPr>
            <b/>
            <sz val="9"/>
            <color indexed="81"/>
            <rFont val="Tahoma"/>
            <family val="2"/>
          </rPr>
          <t>Denis:</t>
        </r>
        <r>
          <rPr>
            <sz val="9"/>
            <color indexed="81"/>
            <rFont val="Tahoma"/>
            <family val="2"/>
          </rPr>
          <t xml:space="preserve">
2 cycles * 28-day treatment cycle</t>
        </r>
      </text>
    </comment>
    <comment ref="R34" authorId="5" shapeId="0" xr:uid="{934CEEFF-5FAA-45C8-9D78-7F365CF03572}">
      <text>
        <r>
          <rPr>
            <b/>
            <sz val="9"/>
            <color indexed="81"/>
            <rFont val="Tahoma"/>
            <family val="2"/>
          </rPr>
          <t>Denis:</t>
        </r>
        <r>
          <rPr>
            <sz val="9"/>
            <color indexed="81"/>
            <rFont val="Tahoma"/>
            <family val="2"/>
          </rPr>
          <t xml:space="preserve">
Prior history of MDS: 44 (34.0%)</t>
        </r>
      </text>
    </comment>
    <comment ref="V34" authorId="5" shapeId="0" xr:uid="{9B462BD5-BB8F-458D-BD54-8BE1D713F257}">
      <text>
        <r>
          <rPr>
            <b/>
            <sz val="9"/>
            <color indexed="81"/>
            <rFont val="Tahoma"/>
            <family val="2"/>
          </rPr>
          <t>Denis:</t>
        </r>
        <r>
          <rPr>
            <sz val="9"/>
            <color indexed="81"/>
            <rFont val="Tahoma"/>
            <family val="2"/>
          </rPr>
          <t xml:space="preserve">
PS 0-1</t>
        </r>
      </text>
    </comment>
    <comment ref="AB34" authorId="5" shapeId="0" xr:uid="{01072E9C-8CA7-4782-BCBF-8FCE911E05C6}">
      <text>
        <r>
          <rPr>
            <b/>
            <sz val="9"/>
            <color indexed="81"/>
            <rFont val="Tahoma"/>
            <family val="2"/>
          </rPr>
          <t>Denis:</t>
        </r>
        <r>
          <rPr>
            <sz val="9"/>
            <color indexed="81"/>
            <rFont val="Tahoma"/>
            <family val="2"/>
          </rPr>
          <t xml:space="preserve">
5 cycles * 28-day treatment cycle</t>
        </r>
      </text>
    </comment>
    <comment ref="AW34" authorId="5" shapeId="0" xr:uid="{F94C5226-567E-4985-BE14-3F2205C8142D}">
      <text>
        <r>
          <rPr>
            <b/>
            <sz val="9"/>
            <color indexed="81"/>
            <rFont val="Tahoma"/>
            <family val="2"/>
          </rPr>
          <t>Denis:</t>
        </r>
        <r>
          <rPr>
            <sz val="9"/>
            <color indexed="81"/>
            <rFont val="Tahoma"/>
            <family val="2"/>
          </rPr>
          <t xml:space="preserve">
TEAEs, grade 3-4</t>
        </r>
      </text>
    </comment>
    <comment ref="BM34" authorId="5" shapeId="0" xr:uid="{5EE43550-DD40-47BE-9386-AF437BB6BB59}">
      <text>
        <r>
          <rPr>
            <b/>
            <sz val="9"/>
            <color indexed="81"/>
            <rFont val="Tahoma"/>
            <family val="2"/>
          </rPr>
          <t>Denis:</t>
        </r>
        <r>
          <rPr>
            <sz val="9"/>
            <color indexed="81"/>
            <rFont val="Tahoma"/>
            <family val="2"/>
          </rPr>
          <t xml:space="preserve">
Sepsis</t>
        </r>
      </text>
    </comment>
    <comment ref="R35" authorId="5" shapeId="0" xr:uid="{0FF5F521-E38B-4BB5-8F0E-C4CFCB909B00}">
      <text>
        <r>
          <rPr>
            <b/>
            <sz val="9"/>
            <color indexed="81"/>
            <rFont val="Tahoma"/>
            <family val="2"/>
          </rPr>
          <t>Denis:</t>
        </r>
        <r>
          <rPr>
            <sz val="9"/>
            <color indexed="81"/>
            <rFont val="Tahoma"/>
            <family val="2"/>
          </rPr>
          <t xml:space="preserve">
Prior history of MDS:  35 (26.0%)</t>
        </r>
      </text>
    </comment>
    <comment ref="V35" authorId="5" shapeId="0" xr:uid="{CB552C6D-84EE-4DA4-AB5A-87F2E3C608E8}">
      <text>
        <r>
          <rPr>
            <b/>
            <sz val="9"/>
            <color indexed="81"/>
            <rFont val="Tahoma"/>
            <family val="2"/>
          </rPr>
          <t>Denis:</t>
        </r>
        <r>
          <rPr>
            <sz val="9"/>
            <color indexed="81"/>
            <rFont val="Tahoma"/>
            <family val="2"/>
          </rPr>
          <t xml:space="preserve">
PS 0-1</t>
        </r>
      </text>
    </comment>
    <comment ref="AB35" authorId="5" shapeId="0" xr:uid="{B1EC95F3-DE3C-446E-ACAA-55B02067EAFE}">
      <text>
        <r>
          <rPr>
            <b/>
            <sz val="9"/>
            <color indexed="81"/>
            <rFont val="Tahoma"/>
            <family val="2"/>
          </rPr>
          <t>Denis:</t>
        </r>
        <r>
          <rPr>
            <sz val="9"/>
            <color indexed="81"/>
            <rFont val="Tahoma"/>
            <family val="2"/>
          </rPr>
          <t xml:space="preserve">
IC: 2 cycles
LDAC: 2 cycles * 28-day treatment cycles: 56 days
BSC: 3 cyc;es * 28-day treatment cycles: 84 days</t>
        </r>
      </text>
    </comment>
    <comment ref="AW35" authorId="5" shapeId="0" xr:uid="{58E37B6A-8E01-4A3F-B19C-EC9F38C5426E}">
      <text>
        <r>
          <rPr>
            <b/>
            <sz val="9"/>
            <color indexed="81"/>
            <rFont val="Tahoma"/>
            <family val="2"/>
          </rPr>
          <t>Denis:</t>
        </r>
        <r>
          <rPr>
            <sz val="9"/>
            <color indexed="81"/>
            <rFont val="Tahoma"/>
            <family val="2"/>
          </rPr>
          <t xml:space="preserve">
TEAEs, grade 3-4</t>
        </r>
      </text>
    </comment>
    <comment ref="BM35" authorId="5" shapeId="0" xr:uid="{5AECC9DC-C3D1-4245-A121-61003AD236D8}">
      <text>
        <r>
          <rPr>
            <b/>
            <sz val="9"/>
            <color indexed="81"/>
            <rFont val="Tahoma"/>
            <family val="2"/>
          </rPr>
          <t>Denis:</t>
        </r>
        <r>
          <rPr>
            <sz val="9"/>
            <color indexed="81"/>
            <rFont val="Tahoma"/>
            <family val="2"/>
          </rPr>
          <t xml:space="preserve">
Sepsis</t>
        </r>
      </text>
    </comment>
    <comment ref="K36" authorId="5" shapeId="0" xr:uid="{7D90DA08-2264-4597-8D40-5B6C0A323BC8}">
      <text>
        <r>
          <rPr>
            <b/>
            <sz val="9"/>
            <color indexed="81"/>
            <rFont val="Tahoma"/>
            <family val="2"/>
          </rPr>
          <t>Denis:</t>
        </r>
        <r>
          <rPr>
            <sz val="9"/>
            <color indexed="81"/>
            <rFont val="Tahoma"/>
            <family val="2"/>
          </rPr>
          <t xml:space="preserve">
160/262 (not 160 additional patients)</t>
        </r>
      </text>
    </comment>
    <comment ref="R36" authorId="5" shapeId="0" xr:uid="{C803E9B9-468E-44FD-A624-C6E7A324EB3A}">
      <text>
        <r>
          <rPr>
            <b/>
            <sz val="9"/>
            <color indexed="81"/>
            <rFont val="Tahoma"/>
            <family val="2"/>
          </rPr>
          <t>Denis:</t>
        </r>
        <r>
          <rPr>
            <sz val="9"/>
            <color indexed="81"/>
            <rFont val="Tahoma"/>
            <family val="2"/>
          </rPr>
          <t xml:space="preserve">
Prior history of MDS: 44 (34.0%)</t>
        </r>
      </text>
    </comment>
    <comment ref="V36" authorId="5" shapeId="0" xr:uid="{E5A0830E-5A37-480D-89E8-2586108BEB53}">
      <text>
        <r>
          <rPr>
            <b/>
            <sz val="9"/>
            <color indexed="81"/>
            <rFont val="Tahoma"/>
            <family val="2"/>
          </rPr>
          <t>Denis:</t>
        </r>
        <r>
          <rPr>
            <sz val="9"/>
            <color indexed="81"/>
            <rFont val="Tahoma"/>
            <family val="2"/>
          </rPr>
          <t xml:space="preserve">
PS 0-1</t>
        </r>
      </text>
    </comment>
    <comment ref="AB36" authorId="5" shapeId="0" xr:uid="{1F0C5B9D-15FC-4CF9-BACC-688A8D3A65EA}">
      <text>
        <r>
          <rPr>
            <b/>
            <sz val="9"/>
            <color indexed="81"/>
            <rFont val="Tahoma"/>
            <family val="2"/>
          </rPr>
          <t>Denis:</t>
        </r>
        <r>
          <rPr>
            <sz val="9"/>
            <color indexed="81"/>
            <rFont val="Tahoma"/>
            <family val="2"/>
          </rPr>
          <t xml:space="preserve">
6 cycles * 28-day treatment cycle</t>
        </r>
      </text>
    </comment>
    <comment ref="R37" authorId="5" shapeId="0" xr:uid="{E73A6133-4986-4571-A85D-102B80484151}">
      <text>
        <r>
          <rPr>
            <b/>
            <sz val="9"/>
            <color indexed="81"/>
            <rFont val="Tahoma"/>
            <family val="2"/>
          </rPr>
          <t>Denis:</t>
        </r>
        <r>
          <rPr>
            <sz val="9"/>
            <color indexed="81"/>
            <rFont val="Tahoma"/>
            <family val="2"/>
          </rPr>
          <t xml:space="preserve">
Prior history of MDS:  35 (26.0%)</t>
        </r>
      </text>
    </comment>
    <comment ref="V37" authorId="5" shapeId="0" xr:uid="{68B9AD9B-9323-4AEA-AA4A-26310033D4CF}">
      <text>
        <r>
          <rPr>
            <b/>
            <sz val="9"/>
            <color indexed="81"/>
            <rFont val="Tahoma"/>
            <family val="2"/>
          </rPr>
          <t>Denis:</t>
        </r>
        <r>
          <rPr>
            <sz val="9"/>
            <color indexed="81"/>
            <rFont val="Tahoma"/>
            <family val="2"/>
          </rPr>
          <t xml:space="preserve">
PS 0-1</t>
        </r>
      </text>
    </comment>
    <comment ref="AB37" authorId="5" shapeId="0" xr:uid="{7E158C03-354C-4F98-BEC2-1CBFA75BBE28}">
      <text>
        <r>
          <rPr>
            <b/>
            <sz val="9"/>
            <color indexed="81"/>
            <rFont val="Tahoma"/>
            <family val="2"/>
          </rPr>
          <t>Denis:</t>
        </r>
        <r>
          <rPr>
            <sz val="9"/>
            <color indexed="81"/>
            <rFont val="Tahoma"/>
            <family val="2"/>
          </rPr>
          <t xml:space="preserve">
2 cycles * 28-day treatment cycle</t>
        </r>
      </text>
    </comment>
    <comment ref="R38" authorId="5" shapeId="0" xr:uid="{440B0C30-41EF-47B3-9970-7AEF8C2DB329}">
      <text>
        <r>
          <rPr>
            <b/>
            <sz val="9"/>
            <color indexed="81"/>
            <rFont val="Tahoma"/>
            <family val="2"/>
          </rPr>
          <t>Denis:</t>
        </r>
        <r>
          <rPr>
            <sz val="9"/>
            <color indexed="81"/>
            <rFont val="Tahoma"/>
            <family val="2"/>
          </rPr>
          <t xml:space="preserve">
Prior history of MDS: 44 (34.0%)</t>
        </r>
      </text>
    </comment>
    <comment ref="V38" authorId="5" shapeId="0" xr:uid="{4A4465AB-868D-45A3-AE86-F2BD9905E8AA}">
      <text>
        <r>
          <rPr>
            <b/>
            <sz val="9"/>
            <color indexed="81"/>
            <rFont val="Tahoma"/>
            <family val="2"/>
          </rPr>
          <t>Denis:</t>
        </r>
        <r>
          <rPr>
            <sz val="9"/>
            <color indexed="81"/>
            <rFont val="Tahoma"/>
            <family val="2"/>
          </rPr>
          <t xml:space="preserve">
PS 0-1</t>
        </r>
      </text>
    </comment>
    <comment ref="AB38" authorId="5" shapeId="0" xr:uid="{31B8B19A-090A-404F-BE63-BFCD3D170121}">
      <text>
        <r>
          <rPr>
            <b/>
            <sz val="9"/>
            <color indexed="81"/>
            <rFont val="Tahoma"/>
            <family val="2"/>
          </rPr>
          <t>Denis:</t>
        </r>
        <r>
          <rPr>
            <sz val="9"/>
            <color indexed="81"/>
            <rFont val="Tahoma"/>
            <family val="2"/>
          </rPr>
          <t xml:space="preserve">
5 cycles * 28-day treatment cycle</t>
        </r>
      </text>
    </comment>
    <comment ref="AW38" authorId="5" shapeId="0" xr:uid="{76D6E4D7-17C1-4312-970E-599B51F609B8}">
      <text>
        <r>
          <rPr>
            <b/>
            <sz val="9"/>
            <color indexed="81"/>
            <rFont val="Tahoma"/>
            <family val="2"/>
          </rPr>
          <t>Denis:</t>
        </r>
        <r>
          <rPr>
            <sz val="9"/>
            <color indexed="81"/>
            <rFont val="Tahoma"/>
            <family val="2"/>
          </rPr>
          <t xml:space="preserve">
TEAEs, grade 3-4</t>
        </r>
      </text>
    </comment>
    <comment ref="BM38" authorId="5" shapeId="0" xr:uid="{E2E91AA6-3C37-4A28-847F-8147E2C7584F}">
      <text>
        <r>
          <rPr>
            <b/>
            <sz val="9"/>
            <color indexed="81"/>
            <rFont val="Tahoma"/>
            <family val="2"/>
          </rPr>
          <t>Denis:</t>
        </r>
        <r>
          <rPr>
            <sz val="9"/>
            <color indexed="81"/>
            <rFont val="Tahoma"/>
            <family val="2"/>
          </rPr>
          <t xml:space="preserve">
Sepsis</t>
        </r>
      </text>
    </comment>
    <comment ref="R39" authorId="5" shapeId="0" xr:uid="{B2BA25A4-E1B6-49D9-A90C-ADF8A6DF9D8A}">
      <text>
        <r>
          <rPr>
            <b/>
            <sz val="9"/>
            <color indexed="81"/>
            <rFont val="Tahoma"/>
            <family val="2"/>
          </rPr>
          <t>Denis:</t>
        </r>
        <r>
          <rPr>
            <sz val="9"/>
            <color indexed="81"/>
            <rFont val="Tahoma"/>
            <family val="2"/>
          </rPr>
          <t xml:space="preserve">
Prior history of MDS:  35 (26.0%)</t>
        </r>
      </text>
    </comment>
    <comment ref="V39" authorId="5" shapeId="0" xr:uid="{6070D1EA-010F-44A1-9C21-A836DFF44104}">
      <text>
        <r>
          <rPr>
            <b/>
            <sz val="9"/>
            <color indexed="81"/>
            <rFont val="Tahoma"/>
            <family val="2"/>
          </rPr>
          <t>Denis:</t>
        </r>
        <r>
          <rPr>
            <sz val="9"/>
            <color indexed="81"/>
            <rFont val="Tahoma"/>
            <family val="2"/>
          </rPr>
          <t xml:space="preserve">
PS 0-1</t>
        </r>
      </text>
    </comment>
    <comment ref="AB39" authorId="5" shapeId="0" xr:uid="{553DC96D-AF7E-4E2A-B7C3-E065F6913AE0}">
      <text>
        <r>
          <rPr>
            <b/>
            <sz val="9"/>
            <color indexed="81"/>
            <rFont val="Tahoma"/>
            <family val="2"/>
          </rPr>
          <t>Denis:</t>
        </r>
        <r>
          <rPr>
            <sz val="9"/>
            <color indexed="81"/>
            <rFont val="Tahoma"/>
            <family val="2"/>
          </rPr>
          <t xml:space="preserve">
IC: 2 cycles
LDAC: 2 cycles * 28-day treatment cycles: 56 days
BSC: 3 cyc;es * 28-day treatment cycles: 84 days</t>
        </r>
      </text>
    </comment>
    <comment ref="AW39" authorId="5" shapeId="0" xr:uid="{D281025D-F2D9-4C72-872E-B1E4B0E7FC30}">
      <text>
        <r>
          <rPr>
            <b/>
            <sz val="9"/>
            <color indexed="81"/>
            <rFont val="Tahoma"/>
            <family val="2"/>
          </rPr>
          <t>Denis:</t>
        </r>
        <r>
          <rPr>
            <sz val="9"/>
            <color indexed="81"/>
            <rFont val="Tahoma"/>
            <family val="2"/>
          </rPr>
          <t xml:space="preserve">
TEAEs, grade 3-4</t>
        </r>
      </text>
    </comment>
    <comment ref="BM39" authorId="5" shapeId="0" xr:uid="{6B00F889-1BC4-40DB-9627-A6EC74C2A428}">
      <text>
        <r>
          <rPr>
            <b/>
            <sz val="9"/>
            <color indexed="81"/>
            <rFont val="Tahoma"/>
            <family val="2"/>
          </rPr>
          <t>Denis:</t>
        </r>
        <r>
          <rPr>
            <sz val="9"/>
            <color indexed="81"/>
            <rFont val="Tahoma"/>
            <family val="2"/>
          </rPr>
          <t xml:space="preserve">
Sepsis</t>
        </r>
      </text>
    </comment>
    <comment ref="R40" authorId="5" shapeId="0" xr:uid="{8B3028F0-7BCA-44D7-B57E-80B501593343}">
      <text>
        <r>
          <rPr>
            <b/>
            <sz val="9"/>
            <color indexed="81"/>
            <rFont val="Tahoma"/>
            <family val="2"/>
          </rPr>
          <t>Denis:</t>
        </r>
        <r>
          <rPr>
            <sz val="9"/>
            <color indexed="81"/>
            <rFont val="Tahoma"/>
            <family val="2"/>
          </rPr>
          <t xml:space="preserve">
Prior history of MDS: 44 (34.0%)</t>
        </r>
      </text>
    </comment>
    <comment ref="V40" authorId="5" shapeId="0" xr:uid="{F8966A20-BF37-4BCA-9223-A331C9B90A50}">
      <text>
        <r>
          <rPr>
            <b/>
            <sz val="9"/>
            <color indexed="81"/>
            <rFont val="Tahoma"/>
            <family val="2"/>
          </rPr>
          <t>Denis:</t>
        </r>
        <r>
          <rPr>
            <sz val="9"/>
            <color indexed="81"/>
            <rFont val="Tahoma"/>
            <family val="2"/>
          </rPr>
          <t xml:space="preserve">
PS 0-1</t>
        </r>
      </text>
    </comment>
    <comment ref="AB40" authorId="5" shapeId="0" xr:uid="{AE765B8B-705A-4F74-B7E6-03047433C6A3}">
      <text>
        <r>
          <rPr>
            <b/>
            <sz val="9"/>
            <color indexed="81"/>
            <rFont val="Tahoma"/>
            <family val="2"/>
          </rPr>
          <t>Denis:</t>
        </r>
        <r>
          <rPr>
            <sz val="9"/>
            <color indexed="81"/>
            <rFont val="Tahoma"/>
            <family val="2"/>
          </rPr>
          <t xml:space="preserve">
6 cycles * 28-day treatment cycle</t>
        </r>
      </text>
    </comment>
    <comment ref="R41" authorId="5" shapeId="0" xr:uid="{7A96DB3F-F6C1-4E92-9A5E-D73AFDCE2556}">
      <text>
        <r>
          <rPr>
            <b/>
            <sz val="9"/>
            <color indexed="81"/>
            <rFont val="Tahoma"/>
            <family val="2"/>
          </rPr>
          <t>Denis:</t>
        </r>
        <r>
          <rPr>
            <sz val="9"/>
            <color indexed="81"/>
            <rFont val="Tahoma"/>
            <family val="2"/>
          </rPr>
          <t xml:space="preserve">
Prior history of MDS:  35 (26.0%)</t>
        </r>
      </text>
    </comment>
    <comment ref="V41" authorId="5" shapeId="0" xr:uid="{B49708D3-2D8F-4A4D-A348-58153F58628F}">
      <text>
        <r>
          <rPr>
            <b/>
            <sz val="9"/>
            <color indexed="81"/>
            <rFont val="Tahoma"/>
            <family val="2"/>
          </rPr>
          <t>Denis:</t>
        </r>
        <r>
          <rPr>
            <sz val="9"/>
            <color indexed="81"/>
            <rFont val="Tahoma"/>
            <family val="2"/>
          </rPr>
          <t xml:space="preserve">
PS 0-1</t>
        </r>
      </text>
    </comment>
    <comment ref="AB41" authorId="5" shapeId="0" xr:uid="{94075881-5B5D-49D9-B95E-BD7CA9BCCDB2}">
      <text>
        <r>
          <rPr>
            <b/>
            <sz val="9"/>
            <color indexed="81"/>
            <rFont val="Tahoma"/>
            <family val="2"/>
          </rPr>
          <t>Denis:</t>
        </r>
        <r>
          <rPr>
            <sz val="9"/>
            <color indexed="81"/>
            <rFont val="Tahoma"/>
            <family val="2"/>
          </rPr>
          <t xml:space="preserve">
2 cycles * 28-day treatment cycle</t>
        </r>
      </text>
    </comment>
    <comment ref="F42" authorId="5" shapeId="0" xr:uid="{D0E3DA9B-4135-4B3C-92BB-D09FB826C504}">
      <text>
        <r>
          <rPr>
            <b/>
            <sz val="9"/>
            <color indexed="81"/>
            <rFont val="Tahoma"/>
            <family val="2"/>
          </rPr>
          <t>Denis:</t>
        </r>
        <r>
          <rPr>
            <sz val="9"/>
            <color indexed="81"/>
            <rFont val="Tahoma"/>
            <family val="2"/>
          </rPr>
          <t xml:space="preserve">
Preselected to LDAC before randomization</t>
        </r>
      </text>
    </comment>
    <comment ref="R42" authorId="5" shapeId="0" xr:uid="{A75E1166-5CB3-49AF-836A-752396B2CADA}">
      <text>
        <r>
          <rPr>
            <b/>
            <sz val="9"/>
            <color indexed="81"/>
            <rFont val="Tahoma"/>
            <family val="2"/>
          </rPr>
          <t>Denis:</t>
        </r>
        <r>
          <rPr>
            <sz val="9"/>
            <color indexed="81"/>
            <rFont val="Tahoma"/>
            <family val="2"/>
          </rPr>
          <t xml:space="preserve">
Prior history of MDS: 44 (34.0%)</t>
        </r>
      </text>
    </comment>
    <comment ref="V42" authorId="5" shapeId="0" xr:uid="{AC80305F-0B6F-470E-A1D6-4C434824AC9A}">
      <text>
        <r>
          <rPr>
            <b/>
            <sz val="9"/>
            <color indexed="81"/>
            <rFont val="Tahoma"/>
            <family val="2"/>
          </rPr>
          <t>Denis:</t>
        </r>
        <r>
          <rPr>
            <sz val="9"/>
            <color indexed="81"/>
            <rFont val="Tahoma"/>
            <family val="2"/>
          </rPr>
          <t xml:space="preserve">
PS 0-1</t>
        </r>
      </text>
    </comment>
    <comment ref="AB42" authorId="5" shapeId="0" xr:uid="{4DABF34C-A764-4373-8096-0753287D6554}">
      <text>
        <r>
          <rPr>
            <b/>
            <sz val="9"/>
            <color indexed="81"/>
            <rFont val="Tahoma"/>
            <family val="2"/>
          </rPr>
          <t>Denis:</t>
        </r>
        <r>
          <rPr>
            <sz val="9"/>
            <color indexed="81"/>
            <rFont val="Tahoma"/>
            <family val="2"/>
          </rPr>
          <t xml:space="preserve">
5 cycles * 28-day treatment cycle</t>
        </r>
      </text>
    </comment>
    <comment ref="AW42" authorId="5" shapeId="0" xr:uid="{E32C40B5-E58E-4B3E-9667-61205E6B48B4}">
      <text>
        <r>
          <rPr>
            <b/>
            <sz val="9"/>
            <color indexed="81"/>
            <rFont val="Tahoma"/>
            <family val="2"/>
          </rPr>
          <t>Denis:</t>
        </r>
        <r>
          <rPr>
            <sz val="9"/>
            <color indexed="81"/>
            <rFont val="Tahoma"/>
            <family val="2"/>
          </rPr>
          <t xml:space="preserve">
TEAEs, grade 3-4</t>
        </r>
      </text>
    </comment>
    <comment ref="BM42" authorId="5" shapeId="0" xr:uid="{38B1DE22-36D4-4BD2-971B-741757B3A8EF}">
      <text>
        <r>
          <rPr>
            <b/>
            <sz val="9"/>
            <color indexed="81"/>
            <rFont val="Tahoma"/>
            <family val="2"/>
          </rPr>
          <t>Denis:</t>
        </r>
        <r>
          <rPr>
            <sz val="9"/>
            <color indexed="81"/>
            <rFont val="Tahoma"/>
            <family val="2"/>
          </rPr>
          <t xml:space="preserve">
Sepsis</t>
        </r>
      </text>
    </comment>
    <comment ref="F43" authorId="5" shapeId="0" xr:uid="{39321096-FA0A-4416-A912-FD5C95DD211B}">
      <text>
        <r>
          <rPr>
            <b/>
            <sz val="9"/>
            <color indexed="81"/>
            <rFont val="Tahoma"/>
            <family val="2"/>
          </rPr>
          <t>Denis:</t>
        </r>
        <r>
          <rPr>
            <sz val="9"/>
            <color indexed="81"/>
            <rFont val="Tahoma"/>
            <family val="2"/>
          </rPr>
          <t xml:space="preserve">
Preselected to LDAC before randomization</t>
        </r>
      </text>
    </comment>
    <comment ref="R43" authorId="5" shapeId="0" xr:uid="{1A746AEC-C6CB-460F-AF88-0D845C078720}">
      <text>
        <r>
          <rPr>
            <b/>
            <sz val="9"/>
            <color indexed="81"/>
            <rFont val="Tahoma"/>
            <family val="2"/>
          </rPr>
          <t>Denis:</t>
        </r>
        <r>
          <rPr>
            <sz val="9"/>
            <color indexed="81"/>
            <rFont val="Tahoma"/>
            <family val="2"/>
          </rPr>
          <t xml:space="preserve">
Prior history of MDS:  35 (26.0%)</t>
        </r>
      </text>
    </comment>
    <comment ref="V43" authorId="5" shapeId="0" xr:uid="{BB58A08A-585E-42F3-A8DC-311C9CFD4195}">
      <text>
        <r>
          <rPr>
            <b/>
            <sz val="9"/>
            <color indexed="81"/>
            <rFont val="Tahoma"/>
            <family val="2"/>
          </rPr>
          <t>Denis:</t>
        </r>
        <r>
          <rPr>
            <sz val="9"/>
            <color indexed="81"/>
            <rFont val="Tahoma"/>
            <family val="2"/>
          </rPr>
          <t xml:space="preserve">
PS 0-1</t>
        </r>
      </text>
    </comment>
    <comment ref="AB43" authorId="5" shapeId="0" xr:uid="{5CD240EB-A9DB-4EC2-9156-EC527C555113}">
      <text>
        <r>
          <rPr>
            <b/>
            <sz val="9"/>
            <color indexed="81"/>
            <rFont val="Tahoma"/>
            <family val="2"/>
          </rPr>
          <t>Denis:</t>
        </r>
        <r>
          <rPr>
            <sz val="9"/>
            <color indexed="81"/>
            <rFont val="Tahoma"/>
            <family val="2"/>
          </rPr>
          <t xml:space="preserve">
IC: 2 cycles
LDAC: 2 cycles * 28-day treatment cycles: 56 days
BSC: 3 cyc;es * 28-day treatment cycles: 84 days</t>
        </r>
      </text>
    </comment>
    <comment ref="AW43" authorId="5" shapeId="0" xr:uid="{B23F6683-1431-4E03-A665-41903875C6FD}">
      <text>
        <r>
          <rPr>
            <b/>
            <sz val="9"/>
            <color indexed="81"/>
            <rFont val="Tahoma"/>
            <family val="2"/>
          </rPr>
          <t>Denis:</t>
        </r>
        <r>
          <rPr>
            <sz val="9"/>
            <color indexed="81"/>
            <rFont val="Tahoma"/>
            <family val="2"/>
          </rPr>
          <t xml:space="preserve">
TEAEs, grade 3-4</t>
        </r>
      </text>
    </comment>
    <comment ref="BM43" authorId="5" shapeId="0" xr:uid="{E2DEF98F-E815-47C5-95F5-31B370D95A28}">
      <text>
        <r>
          <rPr>
            <b/>
            <sz val="9"/>
            <color indexed="81"/>
            <rFont val="Tahoma"/>
            <family val="2"/>
          </rPr>
          <t>Denis:</t>
        </r>
        <r>
          <rPr>
            <sz val="9"/>
            <color indexed="81"/>
            <rFont val="Tahoma"/>
            <family val="2"/>
          </rPr>
          <t xml:space="preserve">
Sepsis</t>
        </r>
      </text>
    </comment>
    <comment ref="F44" authorId="5" shapeId="0" xr:uid="{E3FDB48A-860D-4455-80BA-995DF2F6C688}">
      <text>
        <r>
          <rPr>
            <b/>
            <sz val="9"/>
            <color indexed="81"/>
            <rFont val="Tahoma"/>
            <family val="2"/>
          </rPr>
          <t>Denis:</t>
        </r>
        <r>
          <rPr>
            <sz val="9"/>
            <color indexed="81"/>
            <rFont val="Tahoma"/>
            <family val="2"/>
          </rPr>
          <t xml:space="preserve">
Preselected to LDAC before randomization</t>
        </r>
      </text>
    </comment>
    <comment ref="R44" authorId="5" shapeId="0" xr:uid="{3384FF47-2BB4-4EBF-A231-9CC64DED6A0B}">
      <text>
        <r>
          <rPr>
            <b/>
            <sz val="9"/>
            <color indexed="81"/>
            <rFont val="Tahoma"/>
            <family val="2"/>
          </rPr>
          <t>Denis:</t>
        </r>
        <r>
          <rPr>
            <sz val="9"/>
            <color indexed="81"/>
            <rFont val="Tahoma"/>
            <family val="2"/>
          </rPr>
          <t xml:space="preserve">
Prior history of MDS: 44 (34.0%)</t>
        </r>
      </text>
    </comment>
    <comment ref="V44" authorId="5" shapeId="0" xr:uid="{F6120F9C-1E42-4B53-A761-2BDC9542366C}">
      <text>
        <r>
          <rPr>
            <b/>
            <sz val="9"/>
            <color indexed="81"/>
            <rFont val="Tahoma"/>
            <family val="2"/>
          </rPr>
          <t>Denis:</t>
        </r>
        <r>
          <rPr>
            <sz val="9"/>
            <color indexed="81"/>
            <rFont val="Tahoma"/>
            <family val="2"/>
          </rPr>
          <t xml:space="preserve">
PS 0-1</t>
        </r>
      </text>
    </comment>
    <comment ref="AB44" authorId="5" shapeId="0" xr:uid="{0110CA58-943E-49B4-9EDC-AA604668D62A}">
      <text>
        <r>
          <rPr>
            <b/>
            <sz val="9"/>
            <color indexed="81"/>
            <rFont val="Tahoma"/>
            <family val="2"/>
          </rPr>
          <t>Denis:</t>
        </r>
        <r>
          <rPr>
            <sz val="9"/>
            <color indexed="81"/>
            <rFont val="Tahoma"/>
            <family val="2"/>
          </rPr>
          <t xml:space="preserve">
6 cycles * 28-day treatment cycle</t>
        </r>
      </text>
    </comment>
    <comment ref="F45" authorId="5" shapeId="0" xr:uid="{4AFAF2BD-8D81-4920-99E0-7639353AA17B}">
      <text>
        <r>
          <rPr>
            <b/>
            <sz val="9"/>
            <color indexed="81"/>
            <rFont val="Tahoma"/>
            <family val="2"/>
          </rPr>
          <t>Denis:</t>
        </r>
        <r>
          <rPr>
            <sz val="9"/>
            <color indexed="81"/>
            <rFont val="Tahoma"/>
            <family val="2"/>
          </rPr>
          <t xml:space="preserve">
Preselected to LDAC before randomization</t>
        </r>
      </text>
    </comment>
    <comment ref="R45" authorId="5" shapeId="0" xr:uid="{C676496A-CA82-4B47-A3FD-FD8C84EC39DD}">
      <text>
        <r>
          <rPr>
            <b/>
            <sz val="9"/>
            <color indexed="81"/>
            <rFont val="Tahoma"/>
            <family val="2"/>
          </rPr>
          <t>Denis:</t>
        </r>
        <r>
          <rPr>
            <sz val="9"/>
            <color indexed="81"/>
            <rFont val="Tahoma"/>
            <family val="2"/>
          </rPr>
          <t xml:space="preserve">
Prior history of MDS:  35 (26.0%)</t>
        </r>
      </text>
    </comment>
    <comment ref="V45" authorId="5" shapeId="0" xr:uid="{7F8F37D3-5929-442E-A06B-A4E87C0D5EBC}">
      <text>
        <r>
          <rPr>
            <b/>
            <sz val="9"/>
            <color indexed="81"/>
            <rFont val="Tahoma"/>
            <family val="2"/>
          </rPr>
          <t>Denis:</t>
        </r>
        <r>
          <rPr>
            <sz val="9"/>
            <color indexed="81"/>
            <rFont val="Tahoma"/>
            <family val="2"/>
          </rPr>
          <t xml:space="preserve">
PS 0-1</t>
        </r>
      </text>
    </comment>
    <comment ref="AB45" authorId="5" shapeId="0" xr:uid="{B1A42553-BAE8-43A9-8F91-CFD09806D050}">
      <text>
        <r>
          <rPr>
            <b/>
            <sz val="9"/>
            <color indexed="81"/>
            <rFont val="Tahoma"/>
            <family val="2"/>
          </rPr>
          <t>Denis:</t>
        </r>
        <r>
          <rPr>
            <sz val="9"/>
            <color indexed="81"/>
            <rFont val="Tahoma"/>
            <family val="2"/>
          </rPr>
          <t xml:space="preserve">
2 cycles * 28-day treatment cycle</t>
        </r>
      </text>
    </comment>
    <comment ref="M46" authorId="2" shapeId="0" xr:uid="{4610ED7B-2871-4DC8-828F-524901C83442}">
      <text>
        <r>
          <rPr>
            <b/>
            <sz val="9"/>
            <color indexed="81"/>
            <rFont val="Tahoma"/>
            <family val="2"/>
          </rPr>
          <t>Ed Kim:</t>
        </r>
        <r>
          <rPr>
            <sz val="9"/>
            <color indexed="81"/>
            <rFont val="Tahoma"/>
            <family val="2"/>
          </rPr>
          <t xml:space="preserve">
weighted average of medians</t>
        </r>
      </text>
    </comment>
    <comment ref="O46" authorId="2" shapeId="0" xr:uid="{7958B9C8-130A-40CD-9316-61A524D82E1C}">
      <text>
        <r>
          <rPr>
            <b/>
            <sz val="9"/>
            <color indexed="81"/>
            <rFont val="Tahoma"/>
            <family val="2"/>
          </rPr>
          <t>Ed Kim:</t>
        </r>
        <r>
          <rPr>
            <sz val="9"/>
            <color indexed="81"/>
            <rFont val="Tahoma"/>
            <family val="2"/>
          </rPr>
          <t xml:space="preserve">
weighted average of medians</t>
        </r>
      </text>
    </comment>
    <comment ref="X46" authorId="2" shapeId="0" xr:uid="{5A074803-03FF-4F6D-A9DB-A3FDEF5E188B}">
      <text>
        <r>
          <rPr>
            <b/>
            <sz val="9"/>
            <color indexed="81"/>
            <rFont val="Tahoma"/>
            <family val="2"/>
          </rPr>
          <t>Ed Kim:</t>
        </r>
        <r>
          <rPr>
            <sz val="9"/>
            <color indexed="81"/>
            <rFont val="Tahoma"/>
            <family val="2"/>
          </rPr>
          <t xml:space="preserve">
weighted average of medians</t>
        </r>
      </text>
    </comment>
    <comment ref="AB46" authorId="0" shapeId="0" xr:uid="{025665D6-9CD8-4ACB-A068-5516AA80CECB}">
      <text>
        <r>
          <rPr>
            <b/>
            <sz val="9"/>
            <color indexed="81"/>
            <rFont val="Tahoma"/>
            <family val="2"/>
          </rPr>
          <t>Anastasiya Shor:</t>
        </r>
        <r>
          <rPr>
            <sz val="9"/>
            <color indexed="81"/>
            <rFont val="Tahoma"/>
            <family val="2"/>
          </rPr>
          <t xml:space="preserve">
6wks</t>
        </r>
      </text>
    </comment>
    <comment ref="AC46" authorId="2" shapeId="0" xr:uid="{209CE64D-7708-45A3-997E-649C97B7185C}">
      <text>
        <r>
          <rPr>
            <b/>
            <sz val="9"/>
            <color indexed="81"/>
            <rFont val="Tahoma"/>
            <family val="2"/>
          </rPr>
          <t>Ed Kim:</t>
        </r>
        <r>
          <rPr>
            <sz val="9"/>
            <color indexed="81"/>
            <rFont val="Tahoma"/>
            <family val="2"/>
          </rPr>
          <t xml:space="preserve">
Participants who were still alive at the end of the study and in safety population.
</t>
        </r>
      </text>
    </comment>
    <comment ref="BM46" authorId="2" shapeId="0" xr:uid="{F6280848-120F-47C3-A668-7021E0ED9957}">
      <text>
        <r>
          <rPr>
            <b/>
            <sz val="9"/>
            <color indexed="81"/>
            <rFont val="Tahoma"/>
            <family val="2"/>
          </rPr>
          <t>Ed Kim:</t>
        </r>
        <r>
          <rPr>
            <sz val="9"/>
            <color indexed="81"/>
            <rFont val="Tahoma"/>
            <family val="2"/>
          </rPr>
          <t xml:space="preserve">
cellulitis + PNA</t>
        </r>
      </text>
    </comment>
    <comment ref="AB47" authorId="0" shapeId="0" xr:uid="{DA1DE89D-504A-4D82-B349-480AEEAAC06C}">
      <text>
        <r>
          <rPr>
            <b/>
            <sz val="9"/>
            <color indexed="81"/>
            <rFont val="Tahoma"/>
            <family val="2"/>
          </rPr>
          <t>Anastasiya Shor:</t>
        </r>
        <r>
          <rPr>
            <sz val="9"/>
            <color indexed="81"/>
            <rFont val="Tahoma"/>
            <family val="2"/>
          </rPr>
          <t xml:space="preserve">
8wks</t>
        </r>
      </text>
    </comment>
    <comment ref="AB48" authorId="0" shapeId="0" xr:uid="{7CD4CBE6-D563-47FE-86D2-7CE3DD6A3EC8}">
      <text>
        <r>
          <rPr>
            <b/>
            <sz val="9"/>
            <color indexed="81"/>
            <rFont val="Tahoma"/>
            <family val="2"/>
          </rPr>
          <t>Anastasiya Shor:</t>
        </r>
        <r>
          <rPr>
            <sz val="9"/>
            <color indexed="81"/>
            <rFont val="Tahoma"/>
            <family val="2"/>
          </rPr>
          <t xml:space="preserve">
29wks</t>
        </r>
      </text>
    </comment>
    <comment ref="H53" authorId="0" shapeId="0" xr:uid="{86B9774D-9ABF-41A5-94ED-30C0105CFACC}">
      <text>
        <r>
          <rPr>
            <b/>
            <sz val="9"/>
            <color indexed="81"/>
            <rFont val="Tahoma"/>
            <family val="2"/>
          </rPr>
          <t>Anastasiya Shor:</t>
        </r>
        <r>
          <rPr>
            <sz val="9"/>
            <color indexed="81"/>
            <rFont val="Tahoma"/>
            <family val="2"/>
          </rPr>
          <t xml:space="preserve">
This was a high-risk population: more than two thirds
of patients were &gt;=70 years of age, 35.3% of patients had secondary
AML, 36.0% of patients had poor-risk AML, 24.3% of patients had
ECOG PS of 2, and median baseline blasts in bone marrow
were 46.0%.</t>
        </r>
      </text>
    </comment>
    <comment ref="Z53" authorId="4" shapeId="0" xr:uid="{856DC179-FA99-4C2E-8F2A-06B8EEC28C60}">
      <text>
        <r>
          <rPr>
            <b/>
            <sz val="9"/>
            <color indexed="81"/>
            <rFont val="Tahoma"/>
            <family val="2"/>
          </rPr>
          <t>Ed:</t>
        </r>
        <r>
          <rPr>
            <sz val="9"/>
            <color indexed="81"/>
            <rFont val="Tahoma"/>
            <family val="2"/>
          </rPr>
          <t xml:space="preserve">
total - poor = good/int
total = 87/36.1%*100% = 240 (2 unavilable)
240-87= 153 (63.8%)</t>
        </r>
      </text>
    </comment>
    <comment ref="AB53" authorId="0" shapeId="0" xr:uid="{112B9984-FD4C-48F2-B1FC-A4E2FE6AB059}">
      <text>
        <r>
          <rPr>
            <b/>
            <sz val="9"/>
            <color indexed="81"/>
            <rFont val="Tahoma"/>
            <family val="2"/>
          </rPr>
          <t>Anastasiya Shor:</t>
        </r>
        <r>
          <rPr>
            <sz val="9"/>
            <color indexed="81"/>
            <rFont val="Tahoma"/>
            <family val="2"/>
          </rPr>
          <t xml:space="preserve">
exposure to study medication noted here; median 4 cycles (4 weeks/cycle), range 1-29 cycles; 63 patients (26.5%) remained on study for at least nine cycles versus 32 (15.4%) of 208 cytarabine recipients. At the mature analysis (2010 cutoff), the median numbers of cycles were unchanged, and again, more decitabine than cytarabine patients remained on study for at least nine cycles.</t>
        </r>
      </text>
    </comment>
    <comment ref="AC53" authorId="0" shapeId="0" xr:uid="{798AE34F-1C08-4F70-B7F3-D55B3BF6D857}">
      <text>
        <r>
          <rPr>
            <b/>
            <sz val="9"/>
            <color indexed="81"/>
            <rFont val="Tahoma"/>
            <family val="2"/>
          </rPr>
          <t>Anastasiya Shor:</t>
        </r>
        <r>
          <rPr>
            <sz val="9"/>
            <color indexed="81"/>
            <rFont val="Tahoma"/>
            <family val="2"/>
          </rPr>
          <t xml:space="preserve">
ad hoc mature
(2010) analysis of decitabine and TC in the intent-to-treat population. </t>
        </r>
      </text>
    </comment>
    <comment ref="AD53" authorId="0" shapeId="0" xr:uid="{4D25BB3E-6CDD-4325-AA5A-70AC97A45E53}">
      <text>
        <r>
          <rPr>
            <b/>
            <sz val="9"/>
            <color indexed="81"/>
            <rFont val="Tahoma"/>
            <family val="2"/>
          </rPr>
          <t>Anastasiya Shor:</t>
        </r>
        <r>
          <rPr>
            <sz val="9"/>
            <color indexed="81"/>
            <rFont val="Tahoma"/>
            <family val="2"/>
          </rPr>
          <t xml:space="preserve">
ad hoc mature
(2010) analysis of decitabine and TC in the intent-to-treat population. </t>
        </r>
      </text>
    </comment>
    <comment ref="AQ53" authorId="0" shapeId="0" xr:uid="{B597CD96-CF5C-49A8-9CC2-AE44A2F5D41E}">
      <text>
        <r>
          <rPr>
            <b/>
            <sz val="9"/>
            <color indexed="81"/>
            <rFont val="Tahoma"/>
            <family val="2"/>
          </rPr>
          <t>Anastasiya Shor:</t>
        </r>
        <r>
          <rPr>
            <sz val="9"/>
            <color indexed="81"/>
            <rFont val="Tahoma"/>
            <family val="2"/>
          </rPr>
          <t xml:space="preserve">
Only 185/242 evaluable; 23.6% lost to follow up or due to lack of bone marrow samples. Includes CR and CR with incomplete platelet recovery</t>
        </r>
      </text>
    </comment>
    <comment ref="AR53" authorId="0" shapeId="0" xr:uid="{6AE3212D-21A3-4196-A01E-25A24E5576E4}">
      <text>
        <r>
          <rPr>
            <b/>
            <sz val="9"/>
            <color indexed="81"/>
            <rFont val="Tahoma"/>
            <family val="2"/>
          </rPr>
          <t>Anastasiya Shor:</t>
        </r>
        <r>
          <rPr>
            <sz val="9"/>
            <color indexed="81"/>
            <rFont val="Tahoma"/>
            <family val="2"/>
          </rPr>
          <t xml:space="preserve">
95% CI, includes CR and CR with incomplete platelet recovery</t>
        </r>
      </text>
    </comment>
    <comment ref="AT53" authorId="1" shapeId="0" xr:uid="{E1720679-BBF0-452D-BB17-9F42C9C39E72}">
      <text>
        <r>
          <rPr>
            <b/>
            <sz val="9"/>
            <color indexed="81"/>
            <rFont val="Tahoma"/>
            <family val="2"/>
          </rPr>
          <t>Christina Kwon:</t>
        </r>
        <r>
          <rPr>
            <sz val="9"/>
            <color indexed="81"/>
            <rFont val="Tahoma"/>
            <family val="2"/>
          </rPr>
          <t xml:space="preserve">
platelete transfusion dependent at baseline N=85
RBC transfusion dependent at baseline n=168
from Dass_VH_2012</t>
        </r>
      </text>
    </comment>
    <comment ref="AV53" authorId="1" shapeId="0" xr:uid="{7625D773-765C-48F9-924E-535F4A25F903}">
      <text>
        <r>
          <rPr>
            <b/>
            <sz val="9"/>
            <color indexed="81"/>
            <rFont val="Tahoma"/>
            <family val="2"/>
          </rPr>
          <t>Christina Kwon:</t>
        </r>
        <r>
          <rPr>
            <sz val="9"/>
            <color indexed="81"/>
            <rFont val="Tahoma"/>
            <family val="2"/>
          </rPr>
          <t xml:space="preserve">
Platelete p=0.0069
RBC p=0.0026
from Dass_VH_2012
</t>
        </r>
      </text>
    </comment>
    <comment ref="AW53" authorId="1" shapeId="0" xr:uid="{F8F6A9F0-0286-410C-92C5-A418BC094413}">
      <text>
        <r>
          <rPr>
            <b/>
            <sz val="9"/>
            <color indexed="81"/>
            <rFont val="Tahoma"/>
            <family val="2"/>
          </rPr>
          <t>Christina Kwon:</t>
        </r>
        <r>
          <rPr>
            <sz val="9"/>
            <color indexed="81"/>
            <rFont val="Tahoma"/>
            <family val="2"/>
          </rPr>
          <t xml:space="preserve">
Grades 3 or 4 in more than 10%
of Patients in Any Group were reported
</t>
        </r>
      </text>
    </comment>
    <comment ref="F54" authorId="0" shapeId="0" xr:uid="{092CF7EC-A97C-43EA-AD2D-B3915F0C1EEC}">
      <text>
        <r>
          <rPr>
            <b/>
            <sz val="9"/>
            <color indexed="81"/>
            <rFont val="Tahoma"/>
            <family val="2"/>
          </rPr>
          <t>Anastasiya Shor:</t>
        </r>
        <r>
          <rPr>
            <sz val="9"/>
            <color indexed="81"/>
            <rFont val="Tahoma"/>
            <family val="2"/>
          </rPr>
          <t xml:space="preserve">
Only LDAC population reported here; other treatment choice was BSC (28 patients)</t>
        </r>
      </text>
    </comment>
    <comment ref="Z54" authorId="4" shapeId="0" xr:uid="{5D54E0BB-4CE0-42E8-B798-17E34CEC6DA5}">
      <text>
        <r>
          <rPr>
            <b/>
            <sz val="9"/>
            <color indexed="81"/>
            <rFont val="Tahoma"/>
            <family val="2"/>
          </rPr>
          <t>Ed:</t>
        </r>
        <r>
          <rPr>
            <sz val="9"/>
            <color indexed="81"/>
            <rFont val="Tahoma"/>
            <family val="2"/>
          </rPr>
          <t xml:space="preserve">
total - poor = good/int
total = 79/36.9%*100% = 214 (1 unavailable)
214-87= 135 (63.1%)</t>
        </r>
      </text>
    </comment>
    <comment ref="AB54" authorId="0" shapeId="0" xr:uid="{16D9991E-F6A9-4812-95BD-0B32CAA89E34}">
      <text>
        <r>
          <rPr>
            <b/>
            <sz val="9"/>
            <color indexed="81"/>
            <rFont val="Tahoma"/>
            <family val="2"/>
          </rPr>
          <t>Anastasiya Shor:</t>
        </r>
        <r>
          <rPr>
            <sz val="9"/>
            <color indexed="81"/>
            <rFont val="Tahoma"/>
            <family val="2"/>
          </rPr>
          <t xml:space="preserve">
exposure to study medication noted here; median 2 cycles (4 weeks/cycle), range 1-30 cycles. 63 patients (26.5%) remained on study for at least nine cycles versus 32 (15.4%) of 208 cytarabine recipients. At the mature analysis (2010 cutoff), the median numbers of cycles were unchanged, and again, more decitabine than cytarabine patients remained on study for at least nine cycles.</t>
        </r>
      </text>
    </comment>
    <comment ref="AC54" authorId="0" shapeId="0" xr:uid="{640C29C2-A4C3-494A-8420-14564852A907}">
      <text>
        <r>
          <rPr>
            <b/>
            <sz val="9"/>
            <color indexed="81"/>
            <rFont val="Tahoma"/>
            <family val="2"/>
          </rPr>
          <t>Anastasiya Shor:</t>
        </r>
        <r>
          <rPr>
            <sz val="9"/>
            <color indexed="81"/>
            <rFont val="Tahoma"/>
            <family val="2"/>
          </rPr>
          <t xml:space="preserve">
ad hoc mature
(2010) analysis of decitabine and TC in the intent-to-treat population. 
OS among total treatment choice (LDAC+SC)</t>
        </r>
      </text>
    </comment>
    <comment ref="AD54" authorId="0" shapeId="0" xr:uid="{1250739C-13F8-4E04-AE18-9B18DE8048FC}">
      <text>
        <r>
          <rPr>
            <b/>
            <sz val="9"/>
            <color indexed="81"/>
            <rFont val="Tahoma"/>
            <family val="2"/>
          </rPr>
          <t>Anastasiya Shor:</t>
        </r>
        <r>
          <rPr>
            <sz val="9"/>
            <color indexed="81"/>
            <rFont val="Tahoma"/>
            <family val="2"/>
          </rPr>
          <t xml:space="preserve">
ad hoc mature
(2010) analysis of decitabine and TC in the intent-to-treat population. </t>
        </r>
      </text>
    </comment>
    <comment ref="AQ54" authorId="0" shapeId="0" xr:uid="{8C2C7A9B-80B7-4769-9791-38C15F4DD3BA}">
      <text>
        <r>
          <rPr>
            <b/>
            <sz val="9"/>
            <color indexed="81"/>
            <rFont val="Tahoma"/>
            <family val="2"/>
          </rPr>
          <t>Anastasiya Shor:</t>
        </r>
        <r>
          <rPr>
            <sz val="9"/>
            <color indexed="81"/>
            <rFont val="Tahoma"/>
            <family val="2"/>
          </rPr>
          <t xml:space="preserve">
168/243 treatment of choice population including BSC- 30.9% of patients lost to follow up or due to lack of bone marrow samples; includes CR and CR with incomplete platelet recovery</t>
        </r>
      </text>
    </comment>
    <comment ref="AR54" authorId="0" shapeId="0" xr:uid="{83539E79-C319-46D7-8CDA-88BAE8611983}">
      <text>
        <r>
          <rPr>
            <b/>
            <sz val="9"/>
            <color indexed="81"/>
            <rFont val="Tahoma"/>
            <family val="2"/>
          </rPr>
          <t>Anastasiya Shor:</t>
        </r>
        <r>
          <rPr>
            <sz val="9"/>
            <color indexed="81"/>
            <rFont val="Tahoma"/>
            <family val="2"/>
          </rPr>
          <t xml:space="preserve">
for treatment of choice population including BSC; 95% CI, includes CR and CR with incomplete platelet recovery</t>
        </r>
      </text>
    </comment>
    <comment ref="AT54" authorId="1" shapeId="0" xr:uid="{A35A4598-88ED-4F55-ACF0-2DCFB35AE841}">
      <text>
        <r>
          <rPr>
            <b/>
            <sz val="9"/>
            <color indexed="81"/>
            <rFont val="Tahoma"/>
            <family val="2"/>
          </rPr>
          <t>Christina Kwon:</t>
        </r>
        <r>
          <rPr>
            <sz val="9"/>
            <color indexed="81"/>
            <rFont val="Tahoma"/>
            <family val="2"/>
          </rPr>
          <t xml:space="preserve">
platelete transfusion dependent at baseline N=83
RBC transfusion dependent at baseline n=162
from Dass_VH_2012</t>
        </r>
      </text>
    </comment>
    <comment ref="E55" authorId="2" shapeId="0" xr:uid="{7391C326-016C-4A18-8BB3-831A712E312F}">
      <text>
        <r>
          <rPr>
            <b/>
            <sz val="9"/>
            <color indexed="81"/>
            <rFont val="Tahoma"/>
            <family val="2"/>
          </rPr>
          <t>Ed Kim:</t>
        </r>
        <r>
          <rPr>
            <sz val="9"/>
            <color indexed="81"/>
            <rFont val="Tahoma"/>
            <family val="2"/>
          </rPr>
          <t xml:space="preserve">
letter to the editor but it's abouot P3 RCT post hoc analysis</t>
        </r>
      </text>
    </comment>
    <comment ref="E57" authorId="2" shapeId="0" xr:uid="{FB25F676-6383-4CE3-8861-983A47806957}">
      <text>
        <r>
          <rPr>
            <b/>
            <sz val="9"/>
            <color indexed="81"/>
            <rFont val="Tahoma"/>
            <family val="2"/>
          </rPr>
          <t>Ed Kim:</t>
        </r>
        <r>
          <rPr>
            <sz val="9"/>
            <color indexed="81"/>
            <rFont val="Tahoma"/>
            <family val="2"/>
          </rPr>
          <t xml:space="preserve">
letter to the editor but it's abouot P3 RCT post hoc analysis</t>
        </r>
      </text>
    </comment>
    <comment ref="M59" authorId="1" shapeId="0" xr:uid="{A43208E8-66D1-4DA7-8E5B-443B00585F1D}">
      <text>
        <r>
          <rPr>
            <b/>
            <sz val="9"/>
            <color indexed="81"/>
            <rFont val="Tahoma"/>
            <family val="2"/>
          </rPr>
          <t>Christina Kwon:</t>
        </r>
        <r>
          <rPr>
            <sz val="9"/>
            <color indexed="81"/>
            <rFont val="Tahoma"/>
            <family val="2"/>
          </rPr>
          <t xml:space="preserve">
Weighted average
</t>
        </r>
      </text>
    </comment>
    <comment ref="Q59" authorId="1" shapeId="0" xr:uid="{6E5A6747-2453-49F8-9B8C-F5241F1CFB6F}">
      <text>
        <r>
          <rPr>
            <b/>
            <sz val="9"/>
            <color indexed="81"/>
            <rFont val="Tahoma"/>
            <family val="2"/>
          </rPr>
          <t>Christina Kwon:</t>
        </r>
        <r>
          <rPr>
            <sz val="9"/>
            <color indexed="81"/>
            <rFont val="Tahoma"/>
            <family val="2"/>
          </rPr>
          <t xml:space="preserve">
RAEB-t + AML=
40 (33.6%) + 1 (0.8%)</t>
        </r>
      </text>
    </comment>
    <comment ref="R59" authorId="5" shapeId="0" xr:uid="{F832B605-2BEC-4174-BA62-B059488216EF}">
      <text>
        <r>
          <rPr>
            <b/>
            <sz val="9"/>
            <color indexed="81"/>
            <rFont val="Tahoma"/>
            <family val="2"/>
          </rPr>
          <t>Denis:</t>
        </r>
        <r>
          <rPr>
            <sz val="9"/>
            <color indexed="81"/>
            <rFont val="Tahoma"/>
            <family val="2"/>
          </rPr>
          <t xml:space="preserve">
RA + RAS + RAEB= 
5 (4.2%) + 3 (2.5%) + 61 (51.3%) 
</t>
        </r>
      </text>
    </comment>
    <comment ref="V59" authorId="5" shapeId="0" xr:uid="{21D965CC-0E4C-45FC-B793-884B91B63AF1}">
      <text>
        <r>
          <rPr>
            <b/>
            <sz val="9"/>
            <color indexed="81"/>
            <rFont val="Tahoma"/>
            <family val="2"/>
          </rPr>
          <t>Denis:</t>
        </r>
        <r>
          <rPr>
            <sz val="9"/>
            <color indexed="81"/>
            <rFont val="Tahoma"/>
            <family val="2"/>
          </rPr>
          <t xml:space="preserve">
PS 0 + 1
29 (24.4%) + 76 (63.9%)</t>
        </r>
      </text>
    </comment>
    <comment ref="Z59" authorId="5" shapeId="0" xr:uid="{172873D0-FB78-44FF-9757-B6E20B613A0C}">
      <text>
        <r>
          <rPr>
            <b/>
            <sz val="9"/>
            <color indexed="81"/>
            <rFont val="Tahoma"/>
            <family val="2"/>
          </rPr>
          <t>Denis:</t>
        </r>
        <r>
          <rPr>
            <sz val="9"/>
            <color indexed="81"/>
            <rFont val="Tahoma"/>
            <family val="2"/>
          </rPr>
          <t xml:space="preserve">
Good + intermediate:
38 (31.9%) + 9 (7.6%)
</t>
        </r>
      </text>
    </comment>
    <comment ref="AB59" authorId="5" shapeId="0" xr:uid="{76AF37AE-47FE-468D-9A41-568804EC2A8E}">
      <text>
        <r>
          <rPr>
            <b/>
            <sz val="9"/>
            <color indexed="81"/>
            <rFont val="Tahoma"/>
            <family val="2"/>
          </rPr>
          <t>Denis:</t>
        </r>
        <r>
          <rPr>
            <sz val="9"/>
            <color indexed="81"/>
            <rFont val="Tahoma"/>
            <family val="2"/>
          </rPr>
          <t xml:space="preserve">
median 6 months of treatment</t>
        </r>
      </text>
    </comment>
    <comment ref="AQ59" authorId="5" shapeId="0" xr:uid="{D6336BE0-0415-43E5-ADE5-1EB831E9E5BF}">
      <text>
        <r>
          <rPr>
            <b/>
            <sz val="9"/>
            <color indexed="81"/>
            <rFont val="Tahoma"/>
            <family val="2"/>
          </rPr>
          <t>Denis:</t>
        </r>
        <r>
          <rPr>
            <sz val="9"/>
            <color indexed="81"/>
            <rFont val="Tahoma"/>
            <family val="2"/>
          </rPr>
          <t xml:space="preserve">
5.8 months
</t>
        </r>
      </text>
    </comment>
    <comment ref="AY59" authorId="5" shapeId="0" xr:uid="{AF75B72E-73CF-4C36-94D2-403ACCDACE2A}">
      <text>
        <r>
          <rPr>
            <b/>
            <sz val="9"/>
            <color indexed="81"/>
            <rFont val="Tahoma"/>
            <family val="2"/>
          </rPr>
          <t>Denis:</t>
        </r>
        <r>
          <rPr>
            <sz val="9"/>
            <color indexed="81"/>
            <rFont val="Tahoma"/>
            <family val="2"/>
          </rPr>
          <t xml:space="preserve">
Grade 3 + 4:
25 (21.9%) + 4 (3.5%)</t>
        </r>
      </text>
    </comment>
    <comment ref="AZ59" authorId="5" shapeId="0" xr:uid="{91F9FD87-C8A3-4BBE-9A91-B621D3904CEB}">
      <text>
        <r>
          <rPr>
            <b/>
            <sz val="9"/>
            <color indexed="81"/>
            <rFont val="Tahoma"/>
            <family val="2"/>
          </rPr>
          <t>Denis:</t>
        </r>
        <r>
          <rPr>
            <sz val="9"/>
            <color indexed="81"/>
            <rFont val="Tahoma"/>
            <family val="2"/>
          </rPr>
          <t xml:space="preserve">
Grade 3 + 4:
35 (30.7%) + 19 (16.7%)
</t>
        </r>
        <r>
          <rPr>
            <b/>
            <sz val="9"/>
            <color indexed="81"/>
            <rFont val="Tahoma"/>
            <family val="2"/>
          </rPr>
          <t>Ed:</t>
        </r>
        <r>
          <rPr>
            <sz val="9"/>
            <color indexed="81"/>
            <rFont val="Tahoma"/>
            <family val="2"/>
          </rPr>
          <t xml:space="preserve">
"Infection with grade 3/4 neutropenia"</t>
        </r>
      </text>
    </comment>
    <comment ref="BC59" authorId="5" shapeId="0" xr:uid="{D338D8FB-1766-4188-84D0-E3CBA5C7BA90}">
      <text>
        <r>
          <rPr>
            <b/>
            <sz val="9"/>
            <color indexed="81"/>
            <rFont val="Tahoma"/>
            <family val="2"/>
          </rPr>
          <t>Denis:</t>
        </r>
        <r>
          <rPr>
            <sz val="9"/>
            <color indexed="81"/>
            <rFont val="Tahoma"/>
            <family val="2"/>
          </rPr>
          <t xml:space="preserve">
Grade 3 + 4:
5 (4.4%) + 5 (4.4%)</t>
        </r>
      </text>
    </comment>
    <comment ref="BM59" authorId="5" shapeId="0" xr:uid="{A799B0A3-EA5F-432B-AB90-1E2B575A1F86}">
      <text>
        <r>
          <rPr>
            <b/>
            <sz val="9"/>
            <color indexed="81"/>
            <rFont val="Tahoma"/>
            <family val="2"/>
          </rPr>
          <t>Denis:</t>
        </r>
        <r>
          <rPr>
            <sz val="9"/>
            <color indexed="81"/>
            <rFont val="Tahoma"/>
            <family val="2"/>
          </rPr>
          <t xml:space="preserve">
Grade 3 + 4:
44 (38.6%) + 22 (19.3%)</t>
        </r>
      </text>
    </comment>
    <comment ref="Q60" authorId="1" shapeId="0" xr:uid="{126D218D-8322-464B-820C-C7BB385A9BB6}">
      <text>
        <r>
          <rPr>
            <b/>
            <sz val="9"/>
            <color indexed="81"/>
            <rFont val="Tahoma"/>
            <family val="2"/>
          </rPr>
          <t>Christina Kwon:</t>
        </r>
        <r>
          <rPr>
            <sz val="9"/>
            <color indexed="81"/>
            <rFont val="Tahoma"/>
            <family val="2"/>
          </rPr>
          <t xml:space="preserve">
RAEB-t + AML=
35 (30.7%) + 1 (0.9%)</t>
        </r>
      </text>
    </comment>
    <comment ref="R60" authorId="5" shapeId="0" xr:uid="{A325C158-EFCC-4B32-8962-45DBA7E06CB5}">
      <text>
        <r>
          <rPr>
            <b/>
            <sz val="9"/>
            <color indexed="81"/>
            <rFont val="Tahoma"/>
            <family val="2"/>
          </rPr>
          <t>Denis:</t>
        </r>
        <r>
          <rPr>
            <sz val="9"/>
            <color indexed="81"/>
            <rFont val="Tahoma"/>
            <family val="2"/>
          </rPr>
          <t xml:space="preserve">
RA + RAS + RAEB = 
8 (7.0%) + 2 (1.8%) + 64 (56.1%) </t>
        </r>
      </text>
    </comment>
    <comment ref="V60" authorId="5" shapeId="0" xr:uid="{A83A0CAC-5CAF-416F-9A78-174E5656DA4F}">
      <text>
        <r>
          <rPr>
            <b/>
            <sz val="9"/>
            <color indexed="81"/>
            <rFont val="Tahoma"/>
            <family val="2"/>
          </rPr>
          <t>Denis:</t>
        </r>
        <r>
          <rPr>
            <sz val="9"/>
            <color indexed="81"/>
            <rFont val="Tahoma"/>
            <family val="2"/>
          </rPr>
          <t xml:space="preserve">
PS 0 + 1
25 (21.9%) + 72 (63.2%)
</t>
        </r>
      </text>
    </comment>
    <comment ref="Z60" authorId="5" shapeId="0" xr:uid="{36F1B5F3-33EF-43BD-A256-F81E986F7EC9}">
      <text>
        <r>
          <rPr>
            <b/>
            <sz val="9"/>
            <color indexed="81"/>
            <rFont val="Tahoma"/>
            <family val="2"/>
          </rPr>
          <t>Denis:</t>
        </r>
        <r>
          <rPr>
            <sz val="9"/>
            <color indexed="81"/>
            <rFont val="Tahoma"/>
            <family val="2"/>
          </rPr>
          <t xml:space="preserve">
Good + intermediate:
29 (25.4%) + 17 (14.9%)</t>
        </r>
      </text>
    </comment>
    <comment ref="AY60" authorId="5" shapeId="0" xr:uid="{F3082B30-3524-4531-B0B2-77621D6B5C29}">
      <text>
        <r>
          <rPr>
            <b/>
            <sz val="9"/>
            <color indexed="81"/>
            <rFont val="Tahoma"/>
            <family val="2"/>
          </rPr>
          <t>Denis:</t>
        </r>
        <r>
          <rPr>
            <sz val="9"/>
            <color indexed="81"/>
            <rFont val="Tahoma"/>
            <family val="2"/>
          </rPr>
          <t xml:space="preserve">
Grade 3 + 4:
6 (5.3%) + 2 (1.8%)</t>
        </r>
      </text>
    </comment>
    <comment ref="AZ60" authorId="5" shapeId="0" xr:uid="{8C53F4B9-53F9-420A-AC4C-3EBAA661D9F5}">
      <text>
        <r>
          <rPr>
            <b/>
            <sz val="9"/>
            <color indexed="81"/>
            <rFont val="Tahoma"/>
            <family val="2"/>
          </rPr>
          <t>Denis:</t>
        </r>
        <r>
          <rPr>
            <sz val="9"/>
            <color indexed="81"/>
            <rFont val="Tahoma"/>
            <family val="2"/>
          </rPr>
          <t xml:space="preserve">
Grade 3 + 4:
33 (28.9%) + 7 (6.1%)
</t>
        </r>
        <r>
          <rPr>
            <b/>
            <sz val="9"/>
            <color indexed="81"/>
            <rFont val="Tahoma"/>
            <family val="2"/>
          </rPr>
          <t>Ed:</t>
        </r>
        <r>
          <rPr>
            <sz val="9"/>
            <color indexed="81"/>
            <rFont val="Tahoma"/>
            <family val="2"/>
          </rPr>
          <t xml:space="preserve">
"Infection with grade 3/4 neutropenia"</t>
        </r>
      </text>
    </comment>
    <comment ref="BC60" authorId="5" shapeId="0" xr:uid="{10FC4266-6F68-4F4E-B5F1-F06402919B6D}">
      <text>
        <r>
          <rPr>
            <b/>
            <sz val="9"/>
            <color indexed="81"/>
            <rFont val="Tahoma"/>
            <family val="2"/>
          </rPr>
          <t>Denis:</t>
        </r>
        <r>
          <rPr>
            <sz val="9"/>
            <color indexed="81"/>
            <rFont val="Tahoma"/>
            <family val="2"/>
          </rPr>
          <t xml:space="preserve">
Grade 3 + 4:
12 (10.5%) + 4 (3.5%)</t>
        </r>
      </text>
    </comment>
    <comment ref="BM60" authorId="5" shapeId="0" xr:uid="{456B6CE2-8683-4991-AA22-F5BDB19779A6}">
      <text>
        <r>
          <rPr>
            <b/>
            <sz val="9"/>
            <color indexed="81"/>
            <rFont val="Tahoma"/>
            <family val="2"/>
          </rPr>
          <t>Denis:</t>
        </r>
        <r>
          <rPr>
            <sz val="9"/>
            <color indexed="81"/>
            <rFont val="Tahoma"/>
            <family val="2"/>
          </rPr>
          <t xml:space="preserve">
Grade 3 + 4:
45 (39.5%) + 12 (10.5%)</t>
        </r>
      </text>
    </comment>
    <comment ref="Q61" authorId="1" shapeId="0" xr:uid="{11BBC19C-505E-49F9-8A23-EE021B386DCA}">
      <text>
        <r>
          <rPr>
            <b/>
            <sz val="9"/>
            <color indexed="81"/>
            <rFont val="Tahoma"/>
            <family val="2"/>
          </rPr>
          <t>Christina Kwon:</t>
        </r>
        <r>
          <rPr>
            <sz val="9"/>
            <color indexed="81"/>
            <rFont val="Tahoma"/>
            <family val="2"/>
          </rPr>
          <t xml:space="preserve">
Based on inclusion criteria</t>
        </r>
      </text>
    </comment>
    <comment ref="R61" authorId="1" shapeId="0" xr:uid="{A98A76E8-CE15-4E6A-80A8-2CDB756C47F1}">
      <text>
        <r>
          <rPr>
            <b/>
            <sz val="9"/>
            <color indexed="81"/>
            <rFont val="Tahoma"/>
            <family val="2"/>
          </rPr>
          <t>Christina Kwon:</t>
        </r>
        <r>
          <rPr>
            <sz val="9"/>
            <color indexed="81"/>
            <rFont val="Tahoma"/>
            <family val="2"/>
          </rPr>
          <t xml:space="preserve">
based on inclusion criteria</t>
        </r>
      </text>
    </comment>
    <comment ref="AB61" authorId="4" shapeId="0" xr:uid="{AB48EB62-FF0A-4C94-B641-4B22FD410787}">
      <text>
        <r>
          <rPr>
            <b/>
            <sz val="9"/>
            <color indexed="81"/>
            <rFont val="Tahoma"/>
            <family val="2"/>
          </rPr>
          <t>Ed:</t>
        </r>
        <r>
          <rPr>
            <sz val="9"/>
            <color indexed="81"/>
            <rFont val="Tahoma"/>
            <family val="2"/>
          </rPr>
          <t xml:space="preserve">
3 courses * 28 days</t>
        </r>
      </text>
    </comment>
    <comment ref="AK61" authorId="4" shapeId="0" xr:uid="{675F4942-6369-42FD-BBEC-D8F0CE4DDECF}">
      <text>
        <r>
          <rPr>
            <b/>
            <sz val="9"/>
            <color indexed="81"/>
            <rFont val="Tahoma"/>
            <family val="2"/>
          </rPr>
          <t xml:space="preserve">Ed:
</t>
        </r>
        <r>
          <rPr>
            <sz val="9"/>
            <color indexed="81"/>
            <rFont val="Tahoma"/>
            <family val="2"/>
          </rPr>
          <t>ORR= 8.5%
Effect on ORR of VPA vs no VPA (17.8 vs 17.2%): OR 1.06, CI [0.51,2.21], p = 0.88
Effect on CR/CRi of ATRA vs no ATRA(21.9 vs 13.5%): OR 1.80, CI [0.86,3.79], p = 0.12</t>
        </r>
      </text>
    </comment>
    <comment ref="BS61" authorId="1" shapeId="0" xr:uid="{223C2FD2-6058-4DC5-9036-8DD15E883407}">
      <text>
        <r>
          <rPr>
            <b/>
            <sz val="9"/>
            <color indexed="81"/>
            <rFont val="Tahoma"/>
            <family val="2"/>
          </rPr>
          <t>Christina Kwon:</t>
        </r>
        <r>
          <rPr>
            <sz val="9"/>
            <color indexed="81"/>
            <rFont val="Tahoma"/>
            <family val="2"/>
          </rPr>
          <t xml:space="preserve">
Extracted from Grishina_BMCC_2015</t>
        </r>
      </text>
    </comment>
    <comment ref="Q62" authorId="1" shapeId="0" xr:uid="{5103FC12-E2F3-4B7F-A362-402DEECC9C2C}">
      <text>
        <r>
          <rPr>
            <b/>
            <sz val="9"/>
            <color indexed="81"/>
            <rFont val="Tahoma"/>
            <family val="2"/>
          </rPr>
          <t>Christina Kwon:</t>
        </r>
        <r>
          <rPr>
            <sz val="9"/>
            <color indexed="81"/>
            <rFont val="Tahoma"/>
            <family val="2"/>
          </rPr>
          <t xml:space="preserve">
Based on inclusion criteria</t>
        </r>
      </text>
    </comment>
    <comment ref="R62" authorId="1" shapeId="0" xr:uid="{F4F61F34-E66C-4577-A47C-950CE7EF7461}">
      <text>
        <r>
          <rPr>
            <b/>
            <sz val="9"/>
            <color indexed="81"/>
            <rFont val="Tahoma"/>
            <family val="2"/>
          </rPr>
          <t>Christina Kwon:</t>
        </r>
        <r>
          <rPr>
            <sz val="9"/>
            <color indexed="81"/>
            <rFont val="Tahoma"/>
            <family val="2"/>
          </rPr>
          <t xml:space="preserve">
based on inclusion criteria</t>
        </r>
      </text>
    </comment>
    <comment ref="AK62" authorId="1" shapeId="0" xr:uid="{49C77788-2402-48E4-BF5D-50C62D68DA22}">
      <text>
        <r>
          <rPr>
            <b/>
            <sz val="9"/>
            <color indexed="81"/>
            <rFont val="Tahoma"/>
            <family val="2"/>
          </rPr>
          <t>Christina Kwon:</t>
        </r>
        <r>
          <rPr>
            <sz val="9"/>
            <color indexed="81"/>
            <rFont val="Tahoma"/>
            <family val="2"/>
          </rPr>
          <t xml:space="preserve">
ORR=17.5%</t>
        </r>
      </text>
    </comment>
    <comment ref="Q63" authorId="1" shapeId="0" xr:uid="{BF1C251F-783C-4A67-AE54-968B0D74CEF3}">
      <text>
        <r>
          <rPr>
            <b/>
            <sz val="9"/>
            <color indexed="81"/>
            <rFont val="Tahoma"/>
            <family val="2"/>
          </rPr>
          <t>Christina Kwon:</t>
        </r>
        <r>
          <rPr>
            <sz val="9"/>
            <color indexed="81"/>
            <rFont val="Tahoma"/>
            <family val="2"/>
          </rPr>
          <t xml:space="preserve">
Based on inclusion criteria</t>
        </r>
      </text>
    </comment>
    <comment ref="R63" authorId="1" shapeId="0" xr:uid="{59CB011D-CC50-44AC-8A20-E3E1E9B535A5}">
      <text>
        <r>
          <rPr>
            <b/>
            <sz val="9"/>
            <color indexed="81"/>
            <rFont val="Tahoma"/>
            <family val="2"/>
          </rPr>
          <t>Christina Kwon:</t>
        </r>
        <r>
          <rPr>
            <sz val="9"/>
            <color indexed="81"/>
            <rFont val="Tahoma"/>
            <family val="2"/>
          </rPr>
          <t xml:space="preserve">
based on inclusion criteria</t>
        </r>
      </text>
    </comment>
    <comment ref="AK63" authorId="1" shapeId="0" xr:uid="{C0A327C0-B361-4E48-8DED-5611AC49E561}">
      <text>
        <r>
          <rPr>
            <b/>
            <sz val="9"/>
            <color indexed="81"/>
            <rFont val="Tahoma"/>
            <family val="2"/>
          </rPr>
          <t>Christina Kwon:</t>
        </r>
        <r>
          <rPr>
            <sz val="9"/>
            <color indexed="81"/>
            <rFont val="Tahoma"/>
            <family val="2"/>
          </rPr>
          <t xml:space="preserve">
ORR=26.1%</t>
        </r>
      </text>
    </comment>
    <comment ref="Q64" authorId="1" shapeId="0" xr:uid="{000C39DB-3BB7-4D3C-B94E-F260B3FCE7D7}">
      <text>
        <r>
          <rPr>
            <b/>
            <sz val="9"/>
            <color indexed="81"/>
            <rFont val="Tahoma"/>
            <family val="2"/>
          </rPr>
          <t>Christina Kwon:</t>
        </r>
        <r>
          <rPr>
            <sz val="9"/>
            <color indexed="81"/>
            <rFont val="Tahoma"/>
            <family val="2"/>
          </rPr>
          <t xml:space="preserve">
Based on inclusion criteria</t>
        </r>
      </text>
    </comment>
    <comment ref="R64" authorId="1" shapeId="0" xr:uid="{D7CAC8A2-F7F0-4B19-8F08-022E804DF028}">
      <text>
        <r>
          <rPr>
            <b/>
            <sz val="9"/>
            <color indexed="81"/>
            <rFont val="Tahoma"/>
            <family val="2"/>
          </rPr>
          <t>Christina Kwon:</t>
        </r>
        <r>
          <rPr>
            <sz val="9"/>
            <color indexed="81"/>
            <rFont val="Tahoma"/>
            <family val="2"/>
          </rPr>
          <t xml:space="preserve">
based on inclusion criteria</t>
        </r>
      </text>
    </comment>
    <comment ref="AK64" authorId="1" shapeId="0" xr:uid="{1851EFE7-F0AB-4613-9E7D-6406A0C36913}">
      <text>
        <r>
          <rPr>
            <b/>
            <sz val="9"/>
            <color indexed="81"/>
            <rFont val="Tahoma"/>
            <family val="2"/>
          </rPr>
          <t>Christina Kwon:</t>
        </r>
        <r>
          <rPr>
            <sz val="9"/>
            <color indexed="81"/>
            <rFont val="Tahoma"/>
            <family val="2"/>
          </rPr>
          <t xml:space="preserve">
ORR=18%</t>
        </r>
      </text>
    </comment>
    <comment ref="BM65" authorId="6" shapeId="0" xr:uid="{55FEB8F6-EB5D-42E0-B17E-D7144DEB947C}">
      <text>
        <r>
          <rPr>
            <b/>
            <sz val="9"/>
            <color indexed="81"/>
            <rFont val="Tahoma"/>
            <family val="2"/>
          </rPr>
          <t>Sam Nam:</t>
        </r>
        <r>
          <rPr>
            <sz val="9"/>
            <color indexed="81"/>
            <rFont val="Tahoma"/>
            <family val="2"/>
          </rPr>
          <t xml:space="preserve">
secondary infection rate</t>
        </r>
      </text>
    </comment>
    <comment ref="BM66" authorId="6" shapeId="0" xr:uid="{3D9A781C-5C2D-4799-8ED8-D576B020B63E}">
      <text>
        <r>
          <rPr>
            <b/>
            <sz val="9"/>
            <color indexed="81"/>
            <rFont val="Tahoma"/>
            <family val="2"/>
          </rPr>
          <t>Sam Nam:</t>
        </r>
        <r>
          <rPr>
            <sz val="9"/>
            <color indexed="81"/>
            <rFont val="Tahoma"/>
            <family val="2"/>
          </rPr>
          <t xml:space="preserve">
secondary infection rate</t>
        </r>
      </text>
    </comment>
    <comment ref="F67" authorId="2" shapeId="0" xr:uid="{BFAD1A83-AD6A-40EA-BC79-0739D0794DE2}">
      <text>
        <r>
          <rPr>
            <b/>
            <sz val="9"/>
            <color indexed="81"/>
            <rFont val="Tahoma"/>
            <family val="2"/>
          </rPr>
          <t>Ed Kim:</t>
        </r>
        <r>
          <rPr>
            <sz val="9"/>
            <color indexed="81"/>
            <rFont val="Tahoma"/>
            <family val="2"/>
          </rPr>
          <t xml:space="preserve">
5-day</t>
        </r>
      </text>
    </comment>
    <comment ref="Z67" authorId="2" shapeId="0" xr:uid="{3DE9DC00-4919-4D1E-A931-3A07DFC282D8}">
      <text>
        <r>
          <rPr>
            <b/>
            <sz val="9"/>
            <color indexed="81"/>
            <rFont val="Tahoma"/>
            <family val="2"/>
          </rPr>
          <t>Ed Kim:</t>
        </r>
        <r>
          <rPr>
            <sz val="9"/>
            <color indexed="81"/>
            <rFont val="Tahoma"/>
            <family val="2"/>
          </rPr>
          <t xml:space="preserve">
Diploid: 8 (29%)
-5, -7, complex: 13 (46%)
Others: 5 (18%)
Insufficient metaphases or not done: 2 (7%)</t>
        </r>
      </text>
    </comment>
    <comment ref="AA67" authorId="2" shapeId="0" xr:uid="{C08E7DBE-FCEB-4247-B702-0EEA1BE46CE7}">
      <text>
        <r>
          <rPr>
            <b/>
            <sz val="9"/>
            <color indexed="81"/>
            <rFont val="Tahoma"/>
            <family val="2"/>
          </rPr>
          <t>Ed Kim:</t>
        </r>
        <r>
          <rPr>
            <sz val="9"/>
            <color indexed="81"/>
            <rFont val="Tahoma"/>
            <family val="2"/>
          </rPr>
          <t xml:space="preserve">
Diploid: 8 (29%)
-5, -7, complex: 13 (46%)
Others: 5 (18%)
Insufficient metaphases or not done: 2 (7%)</t>
        </r>
      </text>
    </comment>
    <comment ref="F68" authorId="2" shapeId="0" xr:uid="{EE56A25A-BE73-4533-A2D5-93C676805229}">
      <text>
        <r>
          <rPr>
            <b/>
            <sz val="9"/>
            <color indexed="81"/>
            <rFont val="Tahoma"/>
            <family val="2"/>
          </rPr>
          <t>Ed Kim:</t>
        </r>
        <r>
          <rPr>
            <sz val="9"/>
            <color indexed="81"/>
            <rFont val="Tahoma"/>
            <family val="2"/>
          </rPr>
          <t xml:space="preserve">
10-day</t>
        </r>
      </text>
    </comment>
    <comment ref="Z68" authorId="2" shapeId="0" xr:uid="{43ABDB49-2A44-4CE9-B99D-CD877DC45735}">
      <text>
        <r>
          <rPr>
            <b/>
            <sz val="9"/>
            <color indexed="81"/>
            <rFont val="Tahoma"/>
            <family val="2"/>
          </rPr>
          <t>Ed Kim:</t>
        </r>
        <r>
          <rPr>
            <sz val="9"/>
            <color indexed="81"/>
            <rFont val="Tahoma"/>
            <family val="2"/>
          </rPr>
          <t xml:space="preserve">
Diploid: 10 (23%)
-5, -7, complex: 24 (56%)
Others: 6 (14%)
Insufficient metaphases or not done: 3 (7%)</t>
        </r>
      </text>
    </comment>
    <comment ref="AA68" authorId="2" shapeId="0" xr:uid="{F1F6B8C2-02FB-456E-BE90-0B9C0E9983BE}">
      <text>
        <r>
          <rPr>
            <b/>
            <sz val="9"/>
            <color indexed="81"/>
            <rFont val="Tahoma"/>
            <family val="2"/>
          </rPr>
          <t>Ed Kim:</t>
        </r>
        <r>
          <rPr>
            <sz val="9"/>
            <color indexed="81"/>
            <rFont val="Tahoma"/>
            <family val="2"/>
          </rPr>
          <t xml:space="preserve">
Diploid: 10 (23%)
-5, -7, complex: 24 (56%)
Others: 6 (14%)
Insufficient metaphases or not done: 3 (7%)</t>
        </r>
      </text>
    </comment>
    <comment ref="R69" authorId="7" shapeId="0" xr:uid="{18F9DE9E-B60C-4D18-AA01-07D8AB53587E}">
      <text>
        <r>
          <rPr>
            <b/>
            <sz val="9"/>
            <color indexed="81"/>
            <rFont val="Tahoma"/>
            <family val="2"/>
          </rPr>
          <t>Richard:</t>
        </r>
        <r>
          <rPr>
            <sz val="9"/>
            <color indexed="81"/>
            <rFont val="Tahoma"/>
            <family val="2"/>
          </rPr>
          <t xml:space="preserve">
MDS related and AHD</t>
        </r>
      </text>
    </comment>
    <comment ref="AQ69" authorId="2" shapeId="0" xr:uid="{A152FFF4-7ADA-47E3-BD43-312F3B22DEB4}">
      <text>
        <r>
          <rPr>
            <b/>
            <sz val="9"/>
            <color indexed="81"/>
            <rFont val="Tahoma"/>
            <family val="2"/>
          </rPr>
          <t>Ed Kim:</t>
        </r>
        <r>
          <rPr>
            <sz val="9"/>
            <color indexed="81"/>
            <rFont val="Tahoma"/>
            <family val="2"/>
          </rPr>
          <t xml:space="preserve">
=2.3*365/12
time to CR/CRi
</t>
        </r>
      </text>
    </comment>
    <comment ref="BM69" authorId="2" shapeId="0" xr:uid="{E86E5DC4-7A08-410D-A890-A797F80999B3}">
      <text>
        <r>
          <rPr>
            <b/>
            <sz val="9"/>
            <color indexed="81"/>
            <rFont val="Tahoma"/>
            <family val="2"/>
          </rPr>
          <t>Ed Kim:</t>
        </r>
        <r>
          <rPr>
            <sz val="9"/>
            <color indexed="81"/>
            <rFont val="Tahoma"/>
            <family val="2"/>
          </rPr>
          <t xml:space="preserve">
Infections and infestations + Sepsis</t>
        </r>
      </text>
    </comment>
    <comment ref="R70" authorId="7" shapeId="0" xr:uid="{B7AA6057-1F40-4C41-9F10-D83D5D891F57}">
      <text>
        <r>
          <rPr>
            <b/>
            <sz val="9"/>
            <color indexed="81"/>
            <rFont val="Tahoma"/>
            <family val="2"/>
          </rPr>
          <t>Richard:</t>
        </r>
        <r>
          <rPr>
            <sz val="9"/>
            <color indexed="81"/>
            <rFont val="Tahoma"/>
            <family val="2"/>
          </rPr>
          <t xml:space="preserve">
MDS related and AHD</t>
        </r>
      </text>
    </comment>
    <comment ref="AQ70" authorId="2" shapeId="0" xr:uid="{166AE5CD-CFAA-49B9-9A6E-FF9B8BB2EB4C}">
      <text>
        <r>
          <rPr>
            <b/>
            <sz val="9"/>
            <color indexed="81"/>
            <rFont val="Tahoma"/>
            <family val="2"/>
          </rPr>
          <t>Ed Kim:</t>
        </r>
        <r>
          <rPr>
            <sz val="9"/>
            <color indexed="81"/>
            <rFont val="Tahoma"/>
            <family val="2"/>
          </rPr>
          <t xml:space="preserve">
=3.6*365/12
time to CR/CRi</t>
        </r>
      </text>
    </comment>
    <comment ref="BM70" authorId="2" shapeId="0" xr:uid="{2DE69DD0-CDC7-4388-B90B-2F63B6C56DD8}">
      <text>
        <r>
          <rPr>
            <b/>
            <sz val="9"/>
            <color indexed="81"/>
            <rFont val="Tahoma"/>
            <family val="2"/>
          </rPr>
          <t>Ed Kim:</t>
        </r>
        <r>
          <rPr>
            <sz val="9"/>
            <color indexed="81"/>
            <rFont val="Tahoma"/>
            <family val="2"/>
          </rPr>
          <t xml:space="preserve">
Infections and infestations + Sepsis</t>
        </r>
      </text>
    </comment>
    <comment ref="Q71" authorId="1" shapeId="0" xr:uid="{2900BF58-379A-4A44-9185-433B713ED7D9}">
      <text>
        <r>
          <rPr>
            <b/>
            <sz val="9"/>
            <color indexed="81"/>
            <rFont val="Tahoma"/>
            <family val="2"/>
          </rPr>
          <t>Christina Kwon:</t>
        </r>
        <r>
          <rPr>
            <sz val="9"/>
            <color indexed="81"/>
            <rFont val="Tahoma"/>
            <family val="2"/>
          </rPr>
          <t xml:space="preserve">
Based on inclusion criteria</t>
        </r>
      </text>
    </comment>
    <comment ref="R71" authorId="1" shapeId="0" xr:uid="{93BF8C7D-D103-44C4-9E64-3A6B53A1D7F6}">
      <text>
        <r>
          <rPr>
            <b/>
            <sz val="9"/>
            <color indexed="81"/>
            <rFont val="Tahoma"/>
            <family val="2"/>
          </rPr>
          <t>Christina Kwon:</t>
        </r>
        <r>
          <rPr>
            <sz val="9"/>
            <color indexed="81"/>
            <rFont val="Tahoma"/>
            <family val="2"/>
          </rPr>
          <t xml:space="preserve">
Based on inclusion criteria</t>
        </r>
      </text>
    </comment>
    <comment ref="Q72" authorId="1" shapeId="0" xr:uid="{97DF40D0-5720-477A-9602-452C86BF1F8C}">
      <text>
        <r>
          <rPr>
            <b/>
            <sz val="9"/>
            <color indexed="81"/>
            <rFont val="Tahoma"/>
            <family val="2"/>
          </rPr>
          <t>Christina Kwon:</t>
        </r>
        <r>
          <rPr>
            <sz val="9"/>
            <color indexed="81"/>
            <rFont val="Tahoma"/>
            <family val="2"/>
          </rPr>
          <t xml:space="preserve">
Based on inclusion criteria</t>
        </r>
      </text>
    </comment>
    <comment ref="R72" authorId="1" shapeId="0" xr:uid="{6CBA9C3F-8050-4F74-8B40-9E8F1522DB4F}">
      <text>
        <r>
          <rPr>
            <b/>
            <sz val="9"/>
            <color indexed="81"/>
            <rFont val="Tahoma"/>
            <family val="2"/>
          </rPr>
          <t>Christina Kwon:</t>
        </r>
        <r>
          <rPr>
            <sz val="9"/>
            <color indexed="81"/>
            <rFont val="Tahoma"/>
            <family val="2"/>
          </rPr>
          <t xml:space="preserve">
Based on inclusion criteria</t>
        </r>
      </text>
    </comment>
    <comment ref="S73" authorId="5" shapeId="0" xr:uid="{1EBC3DAA-6C8B-4B1C-985E-7FC3B991A8BE}">
      <text>
        <r>
          <rPr>
            <sz val="9"/>
            <color indexed="81"/>
            <rFont val="Tahoma"/>
            <family val="2"/>
          </rPr>
          <t xml:space="preserve">41+6+4+2 = 53%
</t>
        </r>
      </text>
    </comment>
    <comment ref="AW73" authorId="1" shapeId="0" xr:uid="{50C308C2-C865-4831-8058-29F028ECF82F}">
      <text>
        <r>
          <rPr>
            <b/>
            <sz val="9"/>
            <color indexed="81"/>
            <rFont val="Tahoma"/>
            <family val="2"/>
          </rPr>
          <t>Christina Kwon:</t>
        </r>
        <r>
          <rPr>
            <sz val="9"/>
            <color indexed="81"/>
            <rFont val="Tahoma"/>
            <family val="2"/>
          </rPr>
          <t xml:space="preserve">
Occurring in 3 or more patients (6.25% or more) were reported</t>
        </r>
      </text>
    </comment>
    <comment ref="BM73" authorId="4" shapeId="0" xr:uid="{2712A66A-A7C2-497E-BB81-AE6DC9E3974C}">
      <text>
        <r>
          <rPr>
            <b/>
            <sz val="9"/>
            <color indexed="81"/>
            <rFont val="Tahoma"/>
            <family val="2"/>
          </rPr>
          <t>Ed:</t>
        </r>
        <r>
          <rPr>
            <sz val="9"/>
            <color indexed="81"/>
            <rFont val="Tahoma"/>
            <family val="2"/>
          </rPr>
          <t xml:space="preserve">
"sepsis"</t>
        </r>
      </text>
    </comment>
    <comment ref="S74" authorId="5" shapeId="0" xr:uid="{1BEA5EB6-00AD-48AC-B350-2242CE505993}">
      <text>
        <r>
          <rPr>
            <sz val="9"/>
            <color indexed="81"/>
            <rFont val="Tahoma"/>
            <family val="2"/>
          </rPr>
          <t>54+4 = 58%</t>
        </r>
      </text>
    </comment>
    <comment ref="BM74" authorId="4" shapeId="0" xr:uid="{7E5A8986-64C0-47FE-B5D3-89D164889936}">
      <text>
        <r>
          <rPr>
            <b/>
            <sz val="9"/>
            <color indexed="81"/>
            <rFont val="Tahoma"/>
            <family val="2"/>
          </rPr>
          <t>Ed:</t>
        </r>
        <r>
          <rPr>
            <sz val="9"/>
            <color indexed="81"/>
            <rFont val="Tahoma"/>
            <family val="2"/>
          </rPr>
          <t xml:space="preserve">
"sepsis"</t>
        </r>
      </text>
    </comment>
    <comment ref="Z75" authorId="4" shapeId="0" xr:uid="{A509015F-381E-4447-B4E7-8B0057A606B0}">
      <text>
        <r>
          <rPr>
            <b/>
            <sz val="9"/>
            <color indexed="81"/>
            <rFont val="Tahoma"/>
            <family val="2"/>
          </rPr>
          <t>Ed:</t>
        </r>
        <r>
          <rPr>
            <sz val="9"/>
            <color indexed="81"/>
            <rFont val="Tahoma"/>
            <family val="2"/>
          </rPr>
          <t xml:space="preserve">
120 of 206 known cytogenic risk
</t>
        </r>
      </text>
    </comment>
    <comment ref="AA75" authorId="4" shapeId="0" xr:uid="{E6143882-98BD-407F-80D5-7D7D01549D86}">
      <text>
        <r>
          <rPr>
            <b/>
            <sz val="9"/>
            <color indexed="81"/>
            <rFont val="Tahoma"/>
            <family val="2"/>
          </rPr>
          <t>Ed:</t>
        </r>
        <r>
          <rPr>
            <sz val="9"/>
            <color indexed="81"/>
            <rFont val="Tahoma"/>
            <family val="2"/>
          </rPr>
          <t xml:space="preserve">
120 of 206 known cytogenic risk</t>
        </r>
      </text>
    </comment>
    <comment ref="AB75" authorId="4" shapeId="0" xr:uid="{E995013C-2787-42C4-97EC-01B320B3CC6E}">
      <text>
        <r>
          <rPr>
            <b/>
            <sz val="9"/>
            <color indexed="81"/>
            <rFont val="Tahoma"/>
            <family val="2"/>
          </rPr>
          <t>Ed:</t>
        </r>
        <r>
          <rPr>
            <sz val="9"/>
            <color indexed="81"/>
            <rFont val="Tahoma"/>
            <family val="2"/>
          </rPr>
          <t xml:space="preserve">
median of 2 course
6 weeks cousrse</t>
        </r>
      </text>
    </comment>
    <comment ref="AK75" authorId="1" shapeId="0" xr:uid="{1EEEAD0F-9002-4A3E-9A71-40DF41F08035}">
      <text>
        <r>
          <rPr>
            <b/>
            <sz val="9"/>
            <color indexed="81"/>
            <rFont val="Tahoma"/>
            <family val="2"/>
          </rPr>
          <t>Christina Kwon:</t>
        </r>
        <r>
          <rPr>
            <sz val="9"/>
            <color indexed="81"/>
            <rFont val="Tahoma"/>
            <family val="2"/>
          </rPr>
          <t xml:space="preserve">
Based on subgroup analysis</t>
        </r>
      </text>
    </comment>
    <comment ref="BA75" authorId="1" shapeId="0" xr:uid="{B21B9861-3254-44FF-8680-D2EA993C8491}">
      <text>
        <r>
          <rPr>
            <b/>
            <sz val="9"/>
            <color indexed="81"/>
            <rFont val="Tahoma"/>
            <family val="2"/>
          </rPr>
          <t>Christina Kwon:</t>
        </r>
        <r>
          <rPr>
            <sz val="9"/>
            <color indexed="81"/>
            <rFont val="Tahoma"/>
            <family val="2"/>
          </rPr>
          <t xml:space="preserve">
% after 1st course</t>
        </r>
      </text>
    </comment>
    <comment ref="BE75" authorId="1" shapeId="0" xr:uid="{13BBBE63-C610-458B-84CD-A26ED1AFC230}">
      <text>
        <r>
          <rPr>
            <b/>
            <sz val="9"/>
            <color indexed="81"/>
            <rFont val="Tahoma"/>
            <family val="2"/>
          </rPr>
          <t>Christina Kwon:</t>
        </r>
        <r>
          <rPr>
            <sz val="9"/>
            <color indexed="81"/>
            <rFont val="Tahoma"/>
            <family val="2"/>
          </rPr>
          <t xml:space="preserve">
% after 1st course</t>
        </r>
      </text>
    </comment>
    <comment ref="BS75" authorId="1" shapeId="0" xr:uid="{6EA06EB9-DCD6-4681-B96F-27290A3D6C5B}">
      <text>
        <r>
          <rPr>
            <b/>
            <sz val="9"/>
            <color indexed="81"/>
            <rFont val="Tahoma"/>
            <family val="2"/>
          </rPr>
          <t>Christina Kwon:</t>
        </r>
        <r>
          <rPr>
            <sz val="9"/>
            <color indexed="81"/>
            <rFont val="Tahoma"/>
            <family val="2"/>
          </rPr>
          <t xml:space="preserve">
Extracted from AML 16 trial protocol v6 (https://media.nature.com/original/nature-assets/leu/journal/v31/n5/extref/leu2016309x6.pdf)</t>
        </r>
      </text>
    </comment>
    <comment ref="Z76" authorId="4" shapeId="0" xr:uid="{110E0A4B-10C7-446F-9EF6-F2C43481A287}">
      <text>
        <r>
          <rPr>
            <b/>
            <sz val="9"/>
            <color indexed="81"/>
            <rFont val="Tahoma"/>
            <family val="2"/>
          </rPr>
          <t>Ed:</t>
        </r>
        <r>
          <rPr>
            <sz val="9"/>
            <color indexed="81"/>
            <rFont val="Tahoma"/>
            <family val="2"/>
          </rPr>
          <t xml:space="preserve">
126 of 200 known cytogenic risk</t>
        </r>
      </text>
    </comment>
    <comment ref="AA76" authorId="4" shapeId="0" xr:uid="{B79B58F3-57DE-4D0D-AAF2-77AF1BA95355}">
      <text>
        <r>
          <rPr>
            <b/>
            <sz val="9"/>
            <color indexed="81"/>
            <rFont val="Tahoma"/>
            <family val="2"/>
          </rPr>
          <t>Ed:</t>
        </r>
        <r>
          <rPr>
            <sz val="9"/>
            <color indexed="81"/>
            <rFont val="Tahoma"/>
            <family val="2"/>
          </rPr>
          <t xml:space="preserve">
126 of 200 known cytogenic risk</t>
        </r>
      </text>
    </comment>
    <comment ref="AB76" authorId="4" shapeId="0" xr:uid="{1EB34E6D-BDBC-4F04-BB43-F43D66A054CA}">
      <text>
        <r>
          <rPr>
            <b/>
            <sz val="9"/>
            <color indexed="81"/>
            <rFont val="Tahoma"/>
            <family val="2"/>
          </rPr>
          <t>Ed:</t>
        </r>
        <r>
          <rPr>
            <sz val="9"/>
            <color indexed="81"/>
            <rFont val="Tahoma"/>
            <family val="2"/>
          </rPr>
          <t xml:space="preserve">
2 MEDIAN COURSES 
4 to 6 week intervals
</t>
        </r>
      </text>
    </comment>
    <comment ref="AK76" authorId="1" shapeId="0" xr:uid="{AC92B522-C03B-466A-9EFF-472DD1D7DE0D}">
      <text>
        <r>
          <rPr>
            <b/>
            <sz val="9"/>
            <color indexed="81"/>
            <rFont val="Tahoma"/>
            <family val="2"/>
          </rPr>
          <t>Christina Kwon:</t>
        </r>
        <r>
          <rPr>
            <sz val="9"/>
            <color indexed="81"/>
            <rFont val="Tahoma"/>
            <family val="2"/>
          </rPr>
          <t xml:space="preserve">
Based on subgroup analysis</t>
        </r>
      </text>
    </comment>
    <comment ref="BA76" authorId="1" shapeId="0" xr:uid="{A28B9480-E127-4C68-B963-7FE19E184F35}">
      <text>
        <r>
          <rPr>
            <b/>
            <sz val="9"/>
            <color indexed="81"/>
            <rFont val="Tahoma"/>
            <family val="2"/>
          </rPr>
          <t xml:space="preserve">Christina Kwon:
</t>
        </r>
        <r>
          <rPr>
            <sz val="9"/>
            <color indexed="81"/>
            <rFont val="Tahoma"/>
            <family val="2"/>
          </rPr>
          <t>% after 1st course</t>
        </r>
      </text>
    </comment>
    <comment ref="BE76" authorId="1" shapeId="0" xr:uid="{680472BF-AEC0-447E-98B4-F0D4E1607807}">
      <text>
        <r>
          <rPr>
            <b/>
            <sz val="9"/>
            <color indexed="81"/>
            <rFont val="Tahoma"/>
            <family val="2"/>
          </rPr>
          <t xml:space="preserve">Christina Kwon:
</t>
        </r>
        <r>
          <rPr>
            <sz val="9"/>
            <color indexed="81"/>
            <rFont val="Tahoma"/>
            <family val="2"/>
          </rPr>
          <t>% after 1st course</t>
        </r>
      </text>
    </comment>
    <comment ref="R77" authorId="1" shapeId="0" xr:uid="{20269E15-89D9-4F04-B23B-709F0D919262}">
      <text>
        <r>
          <rPr>
            <b/>
            <sz val="9"/>
            <color indexed="81"/>
            <rFont val="Tahoma"/>
            <family val="2"/>
          </rPr>
          <t>Christina Kwon:</t>
        </r>
        <r>
          <rPr>
            <sz val="9"/>
            <color indexed="81"/>
            <rFont val="Tahoma"/>
            <family val="2"/>
          </rPr>
          <t xml:space="preserve">
RAEB-2</t>
        </r>
      </text>
    </comment>
    <comment ref="V77" authorId="4" shapeId="0" xr:uid="{8FC06911-E891-4CAB-9215-0A30972DC466}">
      <text>
        <r>
          <rPr>
            <b/>
            <sz val="9"/>
            <color indexed="81"/>
            <rFont val="Tahoma"/>
            <family val="2"/>
          </rPr>
          <t>Ed:</t>
        </r>
        <r>
          <rPr>
            <sz val="9"/>
            <color indexed="81"/>
            <rFont val="Tahoma"/>
            <family val="2"/>
          </rPr>
          <t xml:space="preserve">
Based on inclusion criteria (ECOG PS &lt;2)</t>
        </r>
      </text>
    </comment>
    <comment ref="Z77" authorId="5" shapeId="0" xr:uid="{A6167198-7813-4F72-A805-130E669DDB8D}">
      <text>
        <r>
          <rPr>
            <b/>
            <sz val="9"/>
            <color indexed="81"/>
            <rFont val="Tahoma"/>
            <family val="2"/>
          </rPr>
          <t xml:space="preserve">Denis:
</t>
        </r>
        <r>
          <rPr>
            <sz val="9"/>
            <color indexed="81"/>
            <rFont val="Tahoma"/>
            <family val="2"/>
          </rPr>
          <t>16 - 5 = 11</t>
        </r>
      </text>
    </comment>
    <comment ref="AQ77" authorId="4" shapeId="0" xr:uid="{5614685F-0AAB-41CB-8547-25CDD1BABA72}">
      <text>
        <r>
          <rPr>
            <b/>
            <sz val="9"/>
            <color indexed="81"/>
            <rFont val="Tahoma"/>
            <family val="2"/>
          </rPr>
          <t>Ed:</t>
        </r>
        <r>
          <rPr>
            <sz val="9"/>
            <color indexed="81"/>
            <rFont val="Tahoma"/>
            <family val="2"/>
          </rPr>
          <t xml:space="preserve">
Median time to CR: no difference by treatment arm</t>
        </r>
      </text>
    </comment>
    <comment ref="AR77" authorId="4" shapeId="0" xr:uid="{C0791FCB-530E-4ABA-8360-C85BDA831930}">
      <text>
        <r>
          <rPr>
            <b/>
            <sz val="9"/>
            <color indexed="81"/>
            <rFont val="Tahoma"/>
            <family val="2"/>
          </rPr>
          <t>Ed:</t>
        </r>
        <r>
          <rPr>
            <sz val="9"/>
            <color indexed="81"/>
            <rFont val="Tahoma"/>
            <family val="2"/>
          </rPr>
          <t xml:space="preserve">
Median time to CR: no difference by treatment arm</t>
        </r>
      </text>
    </comment>
    <comment ref="AW77" authorId="1" shapeId="0" xr:uid="{88FB11F7-916E-4852-92A2-CDDBC7AB158B}">
      <text>
        <r>
          <rPr>
            <b/>
            <sz val="9"/>
            <color indexed="81"/>
            <rFont val="Tahoma"/>
            <family val="2"/>
          </rPr>
          <t>Christina Kwon:</t>
        </r>
        <r>
          <rPr>
            <sz val="9"/>
            <color indexed="81"/>
            <rFont val="Tahoma"/>
            <family val="2"/>
          </rPr>
          <t xml:space="preserve">
10% or more of patients were reported</t>
        </r>
      </text>
    </comment>
    <comment ref="R78" authorId="1" shapeId="0" xr:uid="{AED32BF4-C6F1-4261-8BC0-219084363A61}">
      <text>
        <r>
          <rPr>
            <b/>
            <sz val="9"/>
            <color indexed="81"/>
            <rFont val="Tahoma"/>
            <family val="2"/>
          </rPr>
          <t>Christina Kwon:</t>
        </r>
        <r>
          <rPr>
            <sz val="9"/>
            <color indexed="81"/>
            <rFont val="Tahoma"/>
            <family val="2"/>
          </rPr>
          <t xml:space="preserve">
RAEB-2</t>
        </r>
      </text>
    </comment>
    <comment ref="V78" authorId="4" shapeId="0" xr:uid="{73AEDC31-D5B9-4D59-8571-BA1DEC8E735D}">
      <text>
        <r>
          <rPr>
            <b/>
            <sz val="9"/>
            <color indexed="81"/>
            <rFont val="Tahoma"/>
            <family val="2"/>
          </rPr>
          <t>Ed:</t>
        </r>
        <r>
          <rPr>
            <sz val="9"/>
            <color indexed="81"/>
            <rFont val="Tahoma"/>
            <family val="2"/>
          </rPr>
          <t xml:space="preserve">
Based on inclusion criteria (ECOG PS &lt;2)</t>
        </r>
      </text>
    </comment>
    <comment ref="Z78" authorId="5" shapeId="0" xr:uid="{0FD38EDB-C915-4541-8BC8-16A509538C92}">
      <text>
        <r>
          <rPr>
            <b/>
            <sz val="9"/>
            <color indexed="81"/>
            <rFont val="Tahoma"/>
            <family val="2"/>
          </rPr>
          <t>Denis:</t>
        </r>
        <r>
          <rPr>
            <sz val="9"/>
            <color indexed="81"/>
            <rFont val="Tahoma"/>
            <family val="2"/>
          </rPr>
          <t xml:space="preserve">
54-20-34</t>
        </r>
      </text>
    </comment>
    <comment ref="Q79" authorId="5" shapeId="0" xr:uid="{A3879902-2218-46B7-8326-9966C4DA03E1}">
      <text>
        <r>
          <rPr>
            <b/>
            <sz val="9"/>
            <color indexed="81"/>
            <rFont val="Tahoma"/>
            <family val="2"/>
          </rPr>
          <t xml:space="preserve">Denis:
</t>
        </r>
        <r>
          <rPr>
            <sz val="9"/>
            <color indexed="81"/>
            <rFont val="Tahoma"/>
            <family val="2"/>
          </rPr>
          <t>Based on the inclusion criteria</t>
        </r>
      </text>
    </comment>
    <comment ref="S79" authorId="5" shapeId="0" xr:uid="{D78D55D2-F1AB-4A20-A1D4-753004F4FC35}">
      <text>
        <r>
          <rPr>
            <b/>
            <sz val="9"/>
            <color indexed="81"/>
            <rFont val="Tahoma"/>
            <family val="2"/>
          </rPr>
          <t xml:space="preserve">Denis:
</t>
        </r>
        <r>
          <rPr>
            <sz val="9"/>
            <color indexed="81"/>
            <rFont val="Tahoma"/>
            <family val="2"/>
          </rPr>
          <t>Based on the inclusion criteria</t>
        </r>
      </text>
    </comment>
    <comment ref="AZ79" authorId="4" shapeId="0" xr:uid="{8AA9148A-2931-4F52-AC9D-D185F895BCB9}">
      <text>
        <r>
          <rPr>
            <b/>
            <sz val="9"/>
            <color indexed="81"/>
            <rFont val="Tahoma"/>
            <family val="2"/>
          </rPr>
          <t>Ed:</t>
        </r>
        <r>
          <rPr>
            <sz val="9"/>
            <color indexed="81"/>
            <rFont val="Tahoma"/>
            <family val="2"/>
          </rPr>
          <t xml:space="preserve">
42.2% grade 3, 11.1% with grade 4 </t>
        </r>
      </text>
    </comment>
    <comment ref="Q80" authorId="5" shapeId="0" xr:uid="{179D3672-AA18-4AA5-8D26-4289ADC09E2A}">
      <text>
        <r>
          <rPr>
            <b/>
            <sz val="9"/>
            <color indexed="81"/>
            <rFont val="Tahoma"/>
            <family val="2"/>
          </rPr>
          <t xml:space="preserve">Denis:
</t>
        </r>
        <r>
          <rPr>
            <sz val="9"/>
            <color indexed="81"/>
            <rFont val="Tahoma"/>
            <family val="2"/>
          </rPr>
          <t>Based on the inclusion criteria</t>
        </r>
      </text>
    </comment>
    <comment ref="S80" authorId="5" shapeId="0" xr:uid="{CB7F9D21-0D8E-4879-AFCF-8DA15C2F447E}">
      <text>
        <r>
          <rPr>
            <b/>
            <sz val="9"/>
            <color indexed="81"/>
            <rFont val="Tahoma"/>
            <family val="2"/>
          </rPr>
          <t xml:space="preserve">Denis:
</t>
        </r>
        <r>
          <rPr>
            <sz val="9"/>
            <color indexed="81"/>
            <rFont val="Tahoma"/>
            <family val="2"/>
          </rPr>
          <t>Based on the inclusion criteria</t>
        </r>
      </text>
    </comment>
    <comment ref="AZ80" authorId="4" shapeId="0" xr:uid="{C85BF6A9-908F-40E8-92FA-1942624F6556}">
      <text>
        <r>
          <rPr>
            <b/>
            <sz val="9"/>
            <color indexed="81"/>
            <rFont val="Tahoma"/>
            <family val="2"/>
          </rPr>
          <t>Ed:</t>
        </r>
        <r>
          <rPr>
            <sz val="9"/>
            <color indexed="81"/>
            <rFont val="Tahoma"/>
            <family val="2"/>
          </rPr>
          <t xml:space="preserve">
grade 3 in 66.7%, grade 4 in 33.3%</t>
        </r>
      </text>
    </comment>
    <comment ref="N81" authorId="5" shapeId="0" xr:uid="{B928F7F5-8DDC-41E3-AE96-664285AA2367}">
      <text>
        <r>
          <rPr>
            <b/>
            <sz val="9"/>
            <color indexed="81"/>
            <rFont val="Tahoma"/>
            <family val="2"/>
          </rPr>
          <t>Denis:</t>
        </r>
        <r>
          <rPr>
            <sz val="9"/>
            <color indexed="81"/>
            <rFont val="Tahoma"/>
            <family val="2"/>
          </rPr>
          <t xml:space="preserve">
153/246</t>
        </r>
      </text>
    </comment>
    <comment ref="S81" authorId="5" shapeId="0" xr:uid="{0C3B6CC2-39FA-40B6-B177-8800AFD69039}">
      <text>
        <r>
          <rPr>
            <b/>
            <sz val="9"/>
            <color indexed="81"/>
            <rFont val="Tahoma"/>
            <family val="2"/>
          </rPr>
          <t>Denis:</t>
        </r>
        <r>
          <rPr>
            <sz val="9"/>
            <color indexed="81"/>
            <rFont val="Tahoma"/>
            <family val="2"/>
          </rPr>
          <t xml:space="preserve">
162/246, 54/246</t>
        </r>
      </text>
    </comment>
    <comment ref="V81" authorId="5" shapeId="0" xr:uid="{24536733-7B28-4271-985E-C6AEDD4943D7}">
      <text>
        <r>
          <rPr>
            <b/>
            <sz val="9"/>
            <color indexed="81"/>
            <rFont val="Tahoma"/>
            <family val="2"/>
          </rPr>
          <t>Denis:</t>
        </r>
        <r>
          <rPr>
            <sz val="9"/>
            <color indexed="81"/>
            <rFont val="Tahoma"/>
            <family val="2"/>
          </rPr>
          <t xml:space="preserve">
0 + 1:
95 (38.6%) + 123 (50%)</t>
        </r>
      </text>
    </comment>
    <comment ref="Z81" authorId="5" shapeId="0" xr:uid="{ACE612E8-A535-41E6-9898-19B589F92C27}">
      <text>
        <r>
          <rPr>
            <b/>
            <sz val="9"/>
            <color indexed="81"/>
            <rFont val="Tahoma"/>
            <family val="2"/>
          </rPr>
          <t>Denis:</t>
        </r>
        <r>
          <rPr>
            <sz val="9"/>
            <color indexed="81"/>
            <rFont val="Tahoma"/>
            <family val="2"/>
          </rPr>
          <t xml:space="preserve">
Good + intermediate:
6 (2.4%) + 114 (46.3%)</t>
        </r>
      </text>
    </comment>
    <comment ref="BA81" authorId="1" shapeId="0" xr:uid="{FA829CAA-F807-406B-92FC-B25321702CD0}">
      <text>
        <r>
          <rPr>
            <b/>
            <sz val="9"/>
            <color indexed="81"/>
            <rFont val="Tahoma"/>
            <family val="2"/>
          </rPr>
          <t>Christina Kwon:</t>
        </r>
        <r>
          <rPr>
            <sz val="9"/>
            <color indexed="81"/>
            <rFont val="Tahoma"/>
            <family val="2"/>
          </rPr>
          <t xml:space="preserve">
% after 1st course</t>
        </r>
      </text>
    </comment>
    <comment ref="BE81" authorId="1" shapeId="0" xr:uid="{987FAC6F-0169-42F9-AE6A-E0FFB985C4F5}">
      <text>
        <r>
          <rPr>
            <b/>
            <sz val="9"/>
            <color indexed="81"/>
            <rFont val="Tahoma"/>
            <family val="2"/>
          </rPr>
          <t>Christina Kwon:</t>
        </r>
        <r>
          <rPr>
            <sz val="9"/>
            <color indexed="81"/>
            <rFont val="Tahoma"/>
            <family val="2"/>
          </rPr>
          <t xml:space="preserve">
% after 1st course</t>
        </r>
      </text>
    </comment>
    <comment ref="N82" authorId="5" shapeId="0" xr:uid="{C68AF53C-76C3-4BA6-A6D1-8B083275AE04}">
      <text>
        <r>
          <rPr>
            <b/>
            <sz val="9"/>
            <color indexed="81"/>
            <rFont val="Tahoma"/>
            <family val="2"/>
          </rPr>
          <t>Denis:</t>
        </r>
        <r>
          <rPr>
            <sz val="9"/>
            <color indexed="81"/>
            <rFont val="Tahoma"/>
            <family val="2"/>
          </rPr>
          <t xml:space="preserve">
147/249</t>
        </r>
      </text>
    </comment>
    <comment ref="S82" authorId="5" shapeId="0" xr:uid="{CFD6F643-DCA0-4F04-B33E-35C947AA7820}">
      <text>
        <r>
          <rPr>
            <b/>
            <sz val="9"/>
            <color indexed="81"/>
            <rFont val="Tahoma"/>
            <family val="2"/>
          </rPr>
          <t>Denis:</t>
        </r>
        <r>
          <rPr>
            <sz val="9"/>
            <color indexed="81"/>
            <rFont val="Tahoma"/>
            <family val="2"/>
          </rPr>
          <t xml:space="preserve">
163/249, 51/249</t>
        </r>
      </text>
    </comment>
    <comment ref="V82" authorId="5" shapeId="0" xr:uid="{3F06DD9C-9F3C-4036-9D5B-970C19BACE6B}">
      <text>
        <r>
          <rPr>
            <b/>
            <sz val="9"/>
            <color indexed="81"/>
            <rFont val="Tahoma"/>
            <family val="2"/>
          </rPr>
          <t>Denis:</t>
        </r>
        <r>
          <rPr>
            <sz val="9"/>
            <color indexed="81"/>
            <rFont val="Tahoma"/>
            <family val="2"/>
          </rPr>
          <t xml:space="preserve">
0 + 1:
92 (37%) + 128 (51.4%)</t>
        </r>
      </text>
    </comment>
    <comment ref="Z82" authorId="5" shapeId="0" xr:uid="{54660937-9E89-4572-A8DB-ED4EC9AEEDF5}">
      <text>
        <r>
          <rPr>
            <b/>
            <sz val="9"/>
            <color indexed="81"/>
            <rFont val="Tahoma"/>
            <family val="2"/>
          </rPr>
          <t>Denis:</t>
        </r>
        <r>
          <rPr>
            <sz val="9"/>
            <color indexed="81"/>
            <rFont val="Tahoma"/>
            <family val="2"/>
          </rPr>
          <t xml:space="preserve">
Good + intermediate:
3 (1.2%) + 109 (43.8%)</t>
        </r>
      </text>
    </comment>
    <comment ref="BA82" authorId="1" shapeId="0" xr:uid="{36703537-1ED7-4675-B913-A97B88DC721B}">
      <text>
        <r>
          <rPr>
            <b/>
            <sz val="9"/>
            <color indexed="81"/>
            <rFont val="Tahoma"/>
            <family val="2"/>
          </rPr>
          <t>Christina Kwon:</t>
        </r>
        <r>
          <rPr>
            <sz val="9"/>
            <color indexed="81"/>
            <rFont val="Tahoma"/>
            <family val="2"/>
          </rPr>
          <t xml:space="preserve">
% after 1st course</t>
        </r>
      </text>
    </comment>
    <comment ref="BE82" authorId="1" shapeId="0" xr:uid="{1A415258-CCB3-4FDA-ADF0-8F1B2614F309}">
      <text>
        <r>
          <rPr>
            <b/>
            <sz val="9"/>
            <color indexed="81"/>
            <rFont val="Tahoma"/>
            <family val="2"/>
          </rPr>
          <t>Christina Kwon:</t>
        </r>
        <r>
          <rPr>
            <sz val="9"/>
            <color indexed="81"/>
            <rFont val="Tahoma"/>
            <family val="2"/>
          </rPr>
          <t xml:space="preserve">
% after 1st course</t>
        </r>
      </text>
    </comment>
    <comment ref="F83" authorId="4" shapeId="0" xr:uid="{69AB38C7-8C3D-4958-8C0F-1616CB7C27A7}">
      <text>
        <r>
          <rPr>
            <b/>
            <sz val="9"/>
            <color indexed="81"/>
            <rFont val="Tahoma"/>
            <family val="2"/>
          </rPr>
          <t>Ed:</t>
        </r>
        <r>
          <rPr>
            <sz val="9"/>
            <color indexed="81"/>
            <rFont val="Tahoma"/>
            <family val="2"/>
          </rPr>
          <t xml:space="preserve">
Both arms were followed by the subsequent randomization with/without ATRA. ATRA ramdomizaton is not included.</t>
        </r>
      </text>
    </comment>
    <comment ref="Z83" authorId="1" shapeId="0" xr:uid="{377DE80C-FB44-499A-82AC-84361CBA4224}">
      <text>
        <r>
          <rPr>
            <b/>
            <sz val="9"/>
            <color indexed="81"/>
            <rFont val="Tahoma"/>
            <family val="2"/>
          </rPr>
          <t>Christina Kwon:</t>
        </r>
        <r>
          <rPr>
            <sz val="9"/>
            <color indexed="81"/>
            <rFont val="Tahoma"/>
            <family val="2"/>
          </rPr>
          <t xml:space="preserve">
56 / 73 (cytogenetics-known patients)</t>
        </r>
      </text>
    </comment>
    <comment ref="AA83" authorId="1" shapeId="0" xr:uid="{28B34A2F-A2A8-47CF-929D-76B539A8A012}">
      <text>
        <r>
          <rPr>
            <b/>
            <sz val="9"/>
            <color indexed="81"/>
            <rFont val="Tahoma"/>
            <family val="2"/>
          </rPr>
          <t>Christina Kwon:</t>
        </r>
        <r>
          <rPr>
            <sz val="9"/>
            <color indexed="81"/>
            <rFont val="Tahoma"/>
            <family val="2"/>
          </rPr>
          <t xml:space="preserve">
17 / 73 (cytogenetics-known patients)</t>
        </r>
      </text>
    </comment>
    <comment ref="BA83" authorId="1" shapeId="0" xr:uid="{95B97F60-4AD1-43CE-956A-C66864965504}">
      <text>
        <r>
          <rPr>
            <b/>
            <sz val="9"/>
            <color indexed="81"/>
            <rFont val="Tahoma"/>
            <family val="2"/>
          </rPr>
          <t>Christina Kwon:</t>
        </r>
        <r>
          <rPr>
            <sz val="9"/>
            <color indexed="81"/>
            <rFont val="Tahoma"/>
            <family val="2"/>
          </rPr>
          <t xml:space="preserve">
% after 1st course
Nausea/emesis</t>
        </r>
      </text>
    </comment>
    <comment ref="BE83" authorId="1" shapeId="0" xr:uid="{86A85B7B-1B9A-4770-B3C5-24CF635DD56E}">
      <text>
        <r>
          <rPr>
            <b/>
            <sz val="9"/>
            <color indexed="81"/>
            <rFont val="Tahoma"/>
            <family val="2"/>
          </rPr>
          <t>Christina Kwon:</t>
        </r>
        <r>
          <rPr>
            <sz val="9"/>
            <color indexed="81"/>
            <rFont val="Tahoma"/>
            <family val="2"/>
          </rPr>
          <t xml:space="preserve">
% after 1st course</t>
        </r>
      </text>
    </comment>
    <comment ref="BM83" authorId="5" shapeId="0" xr:uid="{00328EAE-A46F-43B5-9407-A3E05DCB0AB5}">
      <text>
        <r>
          <rPr>
            <b/>
            <sz val="9"/>
            <color indexed="81"/>
            <rFont val="Tahoma"/>
            <family val="2"/>
          </rPr>
          <t>Denis:</t>
        </r>
        <r>
          <rPr>
            <sz val="9"/>
            <color indexed="81"/>
            <rFont val="Tahoma"/>
            <family val="2"/>
          </rPr>
          <t xml:space="preserve">
18/40, overall in first eight weeks </t>
        </r>
      </text>
    </comment>
    <comment ref="F84" authorId="4" shapeId="0" xr:uid="{17A82F4D-5389-4171-9C86-86F238E28690}">
      <text>
        <r>
          <rPr>
            <b/>
            <sz val="9"/>
            <color indexed="81"/>
            <rFont val="Tahoma"/>
            <family val="2"/>
          </rPr>
          <t>Ed:</t>
        </r>
        <r>
          <rPr>
            <sz val="9"/>
            <color indexed="81"/>
            <rFont val="Tahoma"/>
            <family val="2"/>
          </rPr>
          <t xml:space="preserve">
Both arms were followed by the subsequent randomization with/without ATRA. ATRA ramdomizaton is not included.</t>
        </r>
      </text>
    </comment>
    <comment ref="Z84" authorId="1" shapeId="0" xr:uid="{D7731C4F-87E2-40A3-B88E-04339E4315EA}">
      <text>
        <r>
          <rPr>
            <b/>
            <sz val="9"/>
            <color indexed="81"/>
            <rFont val="Tahoma"/>
            <family val="2"/>
          </rPr>
          <t>Christina Kwon:</t>
        </r>
        <r>
          <rPr>
            <sz val="9"/>
            <color indexed="81"/>
            <rFont val="Tahoma"/>
            <family val="2"/>
          </rPr>
          <t xml:space="preserve">
53 / 77 (cytogenetics-known patients)</t>
        </r>
      </text>
    </comment>
    <comment ref="AA84" authorId="1" shapeId="0" xr:uid="{B9CC40ED-D536-47D2-8573-8B6C9B320740}">
      <text>
        <r>
          <rPr>
            <b/>
            <sz val="9"/>
            <color indexed="81"/>
            <rFont val="Tahoma"/>
            <family val="2"/>
          </rPr>
          <t>Christina Kwon:</t>
        </r>
        <r>
          <rPr>
            <sz val="9"/>
            <color indexed="81"/>
            <rFont val="Tahoma"/>
            <family val="2"/>
          </rPr>
          <t xml:space="preserve">
24 / 77 (cytogenetics-
 known patients)</t>
        </r>
      </text>
    </comment>
    <comment ref="BA84" authorId="1" shapeId="0" xr:uid="{09B58F38-56F6-41E6-BFA3-33AFD30903FF}">
      <text>
        <r>
          <rPr>
            <b/>
            <sz val="9"/>
            <color indexed="81"/>
            <rFont val="Tahoma"/>
            <family val="2"/>
          </rPr>
          <t>Christina Kwon:</t>
        </r>
        <r>
          <rPr>
            <sz val="9"/>
            <color indexed="81"/>
            <rFont val="Tahoma"/>
            <family val="2"/>
          </rPr>
          <t xml:space="preserve">
% after 1st course
Nausea/emesis</t>
        </r>
      </text>
    </comment>
    <comment ref="BE84" authorId="1" shapeId="0" xr:uid="{AB2DEA32-64D5-467A-A80D-10DC0EECE28B}">
      <text>
        <r>
          <rPr>
            <b/>
            <sz val="9"/>
            <color indexed="81"/>
            <rFont val="Tahoma"/>
            <family val="2"/>
          </rPr>
          <t>Christina Kwon:</t>
        </r>
        <r>
          <rPr>
            <sz val="9"/>
            <color indexed="81"/>
            <rFont val="Tahoma"/>
            <family val="2"/>
          </rPr>
          <t xml:space="preserve">
% after 1st course</t>
        </r>
      </text>
    </comment>
    <comment ref="BM84" authorId="5" shapeId="0" xr:uid="{A5433347-A8E3-4FD0-A94A-1A9C7C319387}">
      <text>
        <r>
          <rPr>
            <b/>
            <sz val="9"/>
            <color indexed="81"/>
            <rFont val="Tahoma"/>
            <family val="2"/>
          </rPr>
          <t>Denis:</t>
        </r>
        <r>
          <rPr>
            <sz val="9"/>
            <color indexed="81"/>
            <rFont val="Tahoma"/>
            <family val="2"/>
          </rPr>
          <t xml:space="preserve">
8/38 overall in the first eight weeks</t>
        </r>
      </text>
    </comment>
    <comment ref="Q85" authorId="1" shapeId="0" xr:uid="{62CE22F3-C6ED-4B5B-B12C-5F2C7CE902C7}">
      <text>
        <r>
          <rPr>
            <b/>
            <sz val="9"/>
            <color indexed="81"/>
            <rFont val="Tahoma"/>
            <family val="2"/>
          </rPr>
          <t>Christina Kwon:</t>
        </r>
        <r>
          <rPr>
            <sz val="9"/>
            <color indexed="81"/>
            <rFont val="Tahoma"/>
            <family val="2"/>
          </rPr>
          <t xml:space="preserve">
RAEB-t</t>
        </r>
      </text>
    </comment>
    <comment ref="R85" authorId="1" shapeId="0" xr:uid="{E21586F7-05BA-4BA5-BF44-1D76A37756EF}">
      <text>
        <r>
          <rPr>
            <b/>
            <sz val="9"/>
            <color indexed="81"/>
            <rFont val="Tahoma"/>
            <family val="2"/>
          </rPr>
          <t>Christina Kwon:</t>
        </r>
        <r>
          <rPr>
            <sz val="9"/>
            <color indexed="81"/>
            <rFont val="Tahoma"/>
            <family val="2"/>
          </rPr>
          <t xml:space="preserve">
RAEB
</t>
        </r>
      </text>
    </comment>
    <comment ref="BM85" authorId="5" shapeId="0" xr:uid="{00DCF9BC-7270-4138-8C35-6F762B170CC8}">
      <text>
        <r>
          <rPr>
            <b/>
            <sz val="9"/>
            <color indexed="81"/>
            <rFont val="Tahoma"/>
            <family val="2"/>
          </rPr>
          <t>Denis:</t>
        </r>
        <r>
          <rPr>
            <sz val="9"/>
            <color indexed="81"/>
            <rFont val="Tahoma"/>
            <family val="2"/>
          </rPr>
          <t xml:space="preserve">
grade 3 or 4:
14 (24.1%) + 2 (3.4%)</t>
        </r>
      </text>
    </comment>
    <comment ref="Q86" authorId="1" shapeId="0" xr:uid="{33B18DE1-241A-48AF-84E4-3DB384B568E3}">
      <text>
        <r>
          <rPr>
            <b/>
            <sz val="9"/>
            <color indexed="81"/>
            <rFont val="Tahoma"/>
            <family val="2"/>
          </rPr>
          <t>Christina Kwon:</t>
        </r>
        <r>
          <rPr>
            <sz val="9"/>
            <color indexed="81"/>
            <rFont val="Tahoma"/>
            <family val="2"/>
          </rPr>
          <t xml:space="preserve">
RAEB-t</t>
        </r>
      </text>
    </comment>
    <comment ref="R86" authorId="1" shapeId="0" xr:uid="{D1DEF20C-D14D-472A-9A4D-ECC2BC38C807}">
      <text>
        <r>
          <rPr>
            <b/>
            <sz val="9"/>
            <color indexed="81"/>
            <rFont val="Tahoma"/>
            <family val="2"/>
          </rPr>
          <t>Christina Kwon:</t>
        </r>
        <r>
          <rPr>
            <sz val="9"/>
            <color indexed="81"/>
            <rFont val="Tahoma"/>
            <family val="2"/>
          </rPr>
          <t xml:space="preserve">
RAEB</t>
        </r>
      </text>
    </comment>
    <comment ref="BM86" authorId="5" shapeId="0" xr:uid="{45CB687F-BE42-4D51-A57B-7A3ADD913FA8}">
      <text>
        <r>
          <rPr>
            <b/>
            <sz val="9"/>
            <color indexed="81"/>
            <rFont val="Tahoma"/>
            <family val="2"/>
          </rPr>
          <t>Denis:</t>
        </r>
        <r>
          <rPr>
            <sz val="9"/>
            <color indexed="81"/>
            <rFont val="Tahoma"/>
            <family val="2"/>
          </rPr>
          <t xml:space="preserve">
grade 3 or 4:
21 (38.9%) + 8 (14.8%)</t>
        </r>
      </text>
    </comment>
    <comment ref="Q87" authorId="1" shapeId="0" xr:uid="{0DC4AC2C-22CA-4BBE-9CF1-79CC48E62735}">
      <text>
        <r>
          <rPr>
            <b/>
            <sz val="9"/>
            <color indexed="81"/>
            <rFont val="Tahoma"/>
            <family val="2"/>
          </rPr>
          <t>Christina Kwon:</t>
        </r>
        <r>
          <rPr>
            <sz val="9"/>
            <color indexed="81"/>
            <rFont val="Tahoma"/>
            <family val="2"/>
          </rPr>
          <t xml:space="preserve">
RAEB-t</t>
        </r>
      </text>
    </comment>
    <comment ref="R87" authorId="1" shapeId="0" xr:uid="{8259346F-7B20-4150-A4E3-DDCF7B428E63}">
      <text>
        <r>
          <rPr>
            <b/>
            <sz val="9"/>
            <color indexed="81"/>
            <rFont val="Tahoma"/>
            <family val="2"/>
          </rPr>
          <t>Christina Kwon:</t>
        </r>
        <r>
          <rPr>
            <sz val="9"/>
            <color indexed="81"/>
            <rFont val="Tahoma"/>
            <family val="2"/>
          </rPr>
          <t xml:space="preserve">
RAEB</t>
        </r>
      </text>
    </comment>
    <comment ref="BM87" authorId="5" shapeId="0" xr:uid="{68B3F747-2BE5-41AF-8102-E38EDB199137}">
      <text>
        <r>
          <rPr>
            <b/>
            <sz val="9"/>
            <color indexed="81"/>
            <rFont val="Tahoma"/>
            <family val="2"/>
          </rPr>
          <t>Denis:</t>
        </r>
        <r>
          <rPr>
            <sz val="9"/>
            <color indexed="81"/>
            <rFont val="Tahoma"/>
            <family val="2"/>
          </rPr>
          <t xml:space="preserve">
grade 3 or 4:
20 (33.9%) + 10 (17%)</t>
        </r>
      </text>
    </comment>
    <comment ref="M88" authorId="1" shapeId="0" xr:uid="{227B46BF-416E-4EB3-9888-CD07C94F56BE}">
      <text>
        <r>
          <rPr>
            <b/>
            <sz val="9"/>
            <color indexed="81"/>
            <rFont val="Tahoma"/>
            <family val="2"/>
          </rPr>
          <t>Christina Kwon:</t>
        </r>
        <r>
          <rPr>
            <sz val="9"/>
            <color indexed="81"/>
            <rFont val="Tahoma"/>
            <family val="2"/>
          </rPr>
          <t xml:space="preserve">
Weighted average</t>
        </r>
      </text>
    </comment>
    <comment ref="O88" authorId="1" shapeId="0" xr:uid="{23BB6E18-837C-4208-A0DC-55EFF64D365E}">
      <text>
        <r>
          <rPr>
            <b/>
            <sz val="9"/>
            <color indexed="81"/>
            <rFont val="Tahoma"/>
            <family val="2"/>
          </rPr>
          <t>Christina Kwon:</t>
        </r>
        <r>
          <rPr>
            <sz val="9"/>
            <color indexed="81"/>
            <rFont val="Tahoma"/>
            <family val="2"/>
          </rPr>
          <t xml:space="preserve">
Weighted average</t>
        </r>
      </text>
    </comment>
    <comment ref="AW88" authorId="1" shapeId="0" xr:uid="{DB4DC740-1424-419D-B224-07C34490B0A4}">
      <text>
        <r>
          <rPr>
            <b/>
            <sz val="9"/>
            <color indexed="81"/>
            <rFont val="Tahoma"/>
            <family val="2"/>
          </rPr>
          <t>Christina Kwon:</t>
        </r>
        <r>
          <rPr>
            <sz val="9"/>
            <color indexed="81"/>
            <rFont val="Tahoma"/>
            <family val="2"/>
          </rPr>
          <t xml:space="preserve">
system organ class in &gt; 10% of patients in a treatment group, with preferred term reported if reported in 2 or more patients in a treatment group</t>
        </r>
      </text>
    </comment>
    <comment ref="BM88" authorId="4" shapeId="0" xr:uid="{3DE5164D-246F-4BE6-A65F-E0CDC0C47929}">
      <text>
        <r>
          <rPr>
            <b/>
            <sz val="9"/>
            <color indexed="81"/>
            <rFont val="Tahoma"/>
            <family val="2"/>
          </rPr>
          <t>Ed:</t>
        </r>
        <r>
          <rPr>
            <sz val="9"/>
            <color indexed="81"/>
            <rFont val="Tahoma"/>
            <family val="2"/>
          </rPr>
          <t xml:space="preserve">
"Infections and infestations"</t>
        </r>
      </text>
    </comment>
    <comment ref="BM89" authorId="4" shapeId="0" xr:uid="{84E78E49-6A47-4E6A-BC6E-2DA9B0215DA5}">
      <text>
        <r>
          <rPr>
            <b/>
            <sz val="9"/>
            <color indexed="81"/>
            <rFont val="Tahoma"/>
            <family val="2"/>
          </rPr>
          <t>Ed:</t>
        </r>
        <r>
          <rPr>
            <sz val="9"/>
            <color indexed="81"/>
            <rFont val="Tahoma"/>
            <family val="2"/>
          </rPr>
          <t xml:space="preserve">
"Infections and infestations"</t>
        </r>
      </text>
    </comment>
    <comment ref="AB90" authorId="2" shapeId="0" xr:uid="{89DF617A-DCB8-47C4-BDAD-986D60FED9EB}">
      <text>
        <r>
          <rPr>
            <b/>
            <sz val="9"/>
            <color indexed="81"/>
            <rFont val="Tahoma"/>
            <family val="2"/>
          </rPr>
          <t>Ed Kim:</t>
        </r>
        <r>
          <rPr>
            <sz val="9"/>
            <color indexed="81"/>
            <rFont val="Tahoma"/>
            <family val="2"/>
          </rPr>
          <t xml:space="preserve">
mean 2.9 courses * 4-6 wk</t>
        </r>
      </text>
    </comment>
    <comment ref="AD90" authorId="2" shapeId="0" xr:uid="{9C379C8C-4849-4155-B6E3-27CF1B5B24B7}">
      <text>
        <r>
          <rPr>
            <b/>
            <sz val="9"/>
            <color indexed="81"/>
            <rFont val="Tahoma"/>
            <family val="2"/>
          </rPr>
          <t>Ed Kim:</t>
        </r>
        <r>
          <rPr>
            <sz val="9"/>
            <color indexed="81"/>
            <rFont val="Tahoma"/>
            <family val="2"/>
          </rPr>
          <t xml:space="preserve">
among responder</t>
        </r>
      </text>
    </comment>
    <comment ref="AF90" authorId="2" shapeId="0" xr:uid="{3039F768-4DF7-4BAF-96D4-F92276086A12}">
      <text>
        <r>
          <rPr>
            <b/>
            <sz val="9"/>
            <color indexed="81"/>
            <rFont val="Tahoma"/>
            <family val="2"/>
          </rPr>
          <t>Ed Kim:</t>
        </r>
        <r>
          <rPr>
            <sz val="9"/>
            <color indexed="81"/>
            <rFont val="Tahoma"/>
            <family val="2"/>
          </rPr>
          <t xml:space="preserve">
among non-remitters</t>
        </r>
      </text>
    </comment>
    <comment ref="AK90" authorId="2" shapeId="0" xr:uid="{7A4AB9CA-7F97-4A6D-A63D-705C679B4F91}">
      <text>
        <r>
          <rPr>
            <b/>
            <sz val="9"/>
            <color indexed="81"/>
            <rFont val="Tahoma"/>
            <family val="2"/>
          </rPr>
          <t>Ed Kim:</t>
        </r>
        <r>
          <rPr>
            <sz val="9"/>
            <color indexed="81"/>
            <rFont val="Tahoma"/>
            <family val="2"/>
          </rPr>
          <t xml:space="preserve">
complete remission</t>
        </r>
      </text>
    </comment>
    <comment ref="AL90" authorId="2" shapeId="0" xr:uid="{F6CC0E6D-60D9-4F92-82C8-634E31B21CF5}">
      <text>
        <r>
          <rPr>
            <b/>
            <sz val="9"/>
            <color indexed="81"/>
            <rFont val="Tahoma"/>
            <family val="2"/>
          </rPr>
          <t>Ed Kim:</t>
        </r>
        <r>
          <rPr>
            <sz val="9"/>
            <color indexed="81"/>
            <rFont val="Tahoma"/>
            <family val="2"/>
          </rPr>
          <t xml:space="preserve">
complete remission</t>
        </r>
      </text>
    </comment>
    <comment ref="AR90" authorId="5" shapeId="0" xr:uid="{74F338C9-06A3-46CC-906F-B13A386A62B5}">
      <text>
        <r>
          <rPr>
            <b/>
            <sz val="9"/>
            <color indexed="81"/>
            <rFont val="Tahoma"/>
            <family val="2"/>
          </rPr>
          <t>Denis:</t>
        </r>
        <r>
          <rPr>
            <sz val="9"/>
            <color indexed="81"/>
            <rFont val="Tahoma"/>
            <family val="2"/>
          </rPr>
          <t xml:space="preserve">
1-7</t>
        </r>
      </text>
    </comment>
    <comment ref="AB91" authorId="2" shapeId="0" xr:uid="{98D79819-1D9B-4649-BB10-D1A153670CD5}">
      <text>
        <r>
          <rPr>
            <b/>
            <sz val="9"/>
            <color indexed="81"/>
            <rFont val="Tahoma"/>
            <family val="2"/>
          </rPr>
          <t>Ed Kim:</t>
        </r>
        <r>
          <rPr>
            <sz val="9"/>
            <color indexed="81"/>
            <rFont val="Tahoma"/>
            <family val="2"/>
          </rPr>
          <t xml:space="preserve">
mean 2.3 courses * 4-6 wk</t>
        </r>
      </text>
    </comment>
    <comment ref="AD91" authorId="2" shapeId="0" xr:uid="{82BC06CE-840B-4964-AF42-4A4108E6F6F5}">
      <text>
        <r>
          <rPr>
            <b/>
            <sz val="9"/>
            <color indexed="81"/>
            <rFont val="Tahoma"/>
            <family val="2"/>
          </rPr>
          <t>Ed Kim:</t>
        </r>
        <r>
          <rPr>
            <sz val="9"/>
            <color indexed="81"/>
            <rFont val="Tahoma"/>
            <family val="2"/>
          </rPr>
          <t xml:space="preserve">
among responder</t>
        </r>
      </text>
    </comment>
    <comment ref="AK91" authorId="2" shapeId="0" xr:uid="{EACCC2B0-56B0-4F4A-882E-B72E04C72E5D}">
      <text>
        <r>
          <rPr>
            <b/>
            <sz val="9"/>
            <color indexed="81"/>
            <rFont val="Tahoma"/>
            <family val="2"/>
          </rPr>
          <t>Ed Kim:</t>
        </r>
        <r>
          <rPr>
            <sz val="9"/>
            <color indexed="81"/>
            <rFont val="Tahoma"/>
            <family val="2"/>
          </rPr>
          <t xml:space="preserve">
complete remission</t>
        </r>
      </text>
    </comment>
    <comment ref="AL91" authorId="2" shapeId="0" xr:uid="{47E66A55-B25F-43A9-932D-040BB444DF2E}">
      <text>
        <r>
          <rPr>
            <b/>
            <sz val="9"/>
            <color indexed="81"/>
            <rFont val="Tahoma"/>
            <family val="2"/>
          </rPr>
          <t>Ed Kim:</t>
        </r>
        <r>
          <rPr>
            <sz val="9"/>
            <color indexed="81"/>
            <rFont val="Tahoma"/>
            <family val="2"/>
          </rPr>
          <t xml:space="preserve">
complete remission</t>
        </r>
      </text>
    </comment>
    <comment ref="AR91" authorId="5" shapeId="0" xr:uid="{BF4A1C3B-9A62-42D3-AC82-D79754F693E2}">
      <text>
        <r>
          <rPr>
            <b/>
            <sz val="9"/>
            <color indexed="81"/>
            <rFont val="Tahoma"/>
            <family val="2"/>
          </rPr>
          <t>Denis:</t>
        </r>
        <r>
          <rPr>
            <sz val="9"/>
            <color indexed="81"/>
            <rFont val="Tahoma"/>
            <family val="2"/>
          </rPr>
          <t xml:space="preserve">
1-7</t>
        </r>
      </text>
    </comment>
    <comment ref="F92" authorId="8" shapeId="0" xr:uid="{F5587156-1CB3-4C1B-94B8-7124C7E8E226}">
      <text>
        <r>
          <rPr>
            <b/>
            <sz val="9"/>
            <color indexed="81"/>
            <rFont val="Tahoma"/>
            <family val="2"/>
          </rPr>
          <t>bach-:</t>
        </r>
        <r>
          <rPr>
            <sz val="9"/>
            <color indexed="81"/>
            <rFont val="Tahoma"/>
            <family val="2"/>
          </rPr>
          <t xml:space="preserve">
6 mg/m^2 on day 1 and 3 mg/m^2 on day 8</t>
        </r>
      </text>
    </comment>
    <comment ref="L92" authorId="8" shapeId="0" xr:uid="{E0C2EC21-AC4F-41B5-8D75-586DB5269EA7}">
      <text>
        <r>
          <rPr>
            <b/>
            <sz val="9"/>
            <color indexed="81"/>
            <rFont val="Tahoma"/>
            <family val="2"/>
          </rPr>
          <t>bach-:</t>
        </r>
        <r>
          <rPr>
            <sz val="9"/>
            <color indexed="81"/>
            <rFont val="Tahoma"/>
            <family val="2"/>
          </rPr>
          <t xml:space="preserve">
Range: 62-88</t>
        </r>
      </text>
    </comment>
    <comment ref="M92" authorId="8" shapeId="0" xr:uid="{C8010CC1-0212-465C-B119-09787F342132}">
      <text>
        <r>
          <rPr>
            <b/>
            <sz val="9"/>
            <color indexed="81"/>
            <rFont val="Tahoma"/>
            <family val="2"/>
          </rPr>
          <t>bach-:</t>
        </r>
        <r>
          <rPr>
            <sz val="9"/>
            <color indexed="81"/>
            <rFont val="Tahoma"/>
            <family val="2"/>
          </rPr>
          <t xml:space="preserve">
Range: 62-88</t>
        </r>
      </text>
    </comment>
    <comment ref="V92" authorId="8" shapeId="0" xr:uid="{519CAF50-9E2C-4395-8D9D-CFCD0E4DEAB6}">
      <text>
        <r>
          <rPr>
            <b/>
            <sz val="9"/>
            <color indexed="81"/>
            <rFont val="Tahoma"/>
            <family val="2"/>
          </rPr>
          <t>bach-:</t>
        </r>
        <r>
          <rPr>
            <sz val="9"/>
            <color indexed="81"/>
            <rFont val="Tahoma"/>
            <family val="2"/>
          </rPr>
          <t xml:space="preserve">
WHO PS: 76 (64.4%)</t>
        </r>
      </text>
    </comment>
    <comment ref="Z92" authorId="8" shapeId="0" xr:uid="{4C0D3C3E-AF89-41A5-867E-0C2F51103029}">
      <text>
        <r>
          <rPr>
            <b/>
            <sz val="9"/>
            <color indexed="81"/>
            <rFont val="Tahoma"/>
            <family val="2"/>
          </rPr>
          <t>bach-:</t>
        </r>
        <r>
          <rPr>
            <sz val="9"/>
            <color indexed="81"/>
            <rFont val="Tahoma"/>
            <family val="2"/>
          </rPr>
          <t xml:space="preserve">
Favorable + Intermediate</t>
        </r>
      </text>
    </comment>
    <comment ref="AA92" authorId="8" shapeId="0" xr:uid="{50327AD0-80AF-4F6B-851F-F51D1A057C2A}">
      <text>
        <r>
          <rPr>
            <b/>
            <sz val="9"/>
            <color indexed="81"/>
            <rFont val="Tahoma"/>
            <family val="2"/>
          </rPr>
          <t>bach-:</t>
        </r>
        <r>
          <rPr>
            <sz val="9"/>
            <color indexed="81"/>
            <rFont val="Tahoma"/>
            <family val="2"/>
          </rPr>
          <t xml:space="preserve">
Adverse</t>
        </r>
      </text>
    </comment>
    <comment ref="AD92" authorId="8" shapeId="0" xr:uid="{16C206D8-D24D-4281-8A09-985308A0A395}">
      <text>
        <r>
          <rPr>
            <b/>
            <sz val="9"/>
            <color indexed="81"/>
            <rFont val="Tahoma"/>
            <family val="2"/>
          </rPr>
          <t>bach-:</t>
        </r>
        <r>
          <rPr>
            <sz val="9"/>
            <color indexed="81"/>
            <rFont val="Tahoma"/>
            <family val="2"/>
          </rPr>
          <t xml:space="preserve">
Median OS from best response:
8.2 months (95% CI, 5.4 to 12.8 months)</t>
        </r>
      </text>
    </comment>
    <comment ref="F93" authorId="8" shapeId="0" xr:uid="{C90CF79A-0A9B-46CB-8A21-AB2D545D6D87}">
      <text>
        <r>
          <rPr>
            <b/>
            <sz val="9"/>
            <color indexed="81"/>
            <rFont val="Tahoma"/>
            <family val="2"/>
          </rPr>
          <t>bach-:</t>
        </r>
        <r>
          <rPr>
            <sz val="9"/>
            <color indexed="81"/>
            <rFont val="Tahoma"/>
            <family val="2"/>
          </rPr>
          <t xml:space="preserve">
Hydroxyurea or low-dose cytarabine</t>
        </r>
      </text>
    </comment>
    <comment ref="L93" authorId="8" shapeId="0" xr:uid="{39C209EC-1504-4657-9C0F-A32649785CA1}">
      <text>
        <r>
          <rPr>
            <b/>
            <sz val="9"/>
            <color indexed="81"/>
            <rFont val="Tahoma"/>
            <family val="2"/>
          </rPr>
          <t>bach-:</t>
        </r>
        <r>
          <rPr>
            <sz val="9"/>
            <color indexed="81"/>
            <rFont val="Tahoma"/>
            <family val="2"/>
          </rPr>
          <t xml:space="preserve">
66-88</t>
        </r>
      </text>
    </comment>
    <comment ref="V93" authorId="8" shapeId="0" xr:uid="{0AF03161-3FEF-4636-BF97-252AD085A899}">
      <text>
        <r>
          <rPr>
            <b/>
            <sz val="9"/>
            <color indexed="81"/>
            <rFont val="Tahoma"/>
            <family val="2"/>
          </rPr>
          <t>bach-:</t>
        </r>
        <r>
          <rPr>
            <sz val="9"/>
            <color indexed="81"/>
            <rFont val="Tahoma"/>
            <family val="2"/>
          </rPr>
          <t xml:space="preserve">
WHO PS: 77 (64.7%)</t>
        </r>
      </text>
    </comment>
    <comment ref="Z93" authorId="8" shapeId="0" xr:uid="{6A43A538-722F-4A67-BB44-80210BAAE9E0}">
      <text>
        <r>
          <rPr>
            <b/>
            <sz val="9"/>
            <color indexed="81"/>
            <rFont val="Tahoma"/>
            <family val="2"/>
          </rPr>
          <t>bach-:</t>
        </r>
        <r>
          <rPr>
            <sz val="9"/>
            <color indexed="81"/>
            <rFont val="Tahoma"/>
            <family val="2"/>
          </rPr>
          <t xml:space="preserve">
Favorable + Intermediate</t>
        </r>
      </text>
    </comment>
    <comment ref="AA93" authorId="8" shapeId="0" xr:uid="{3818108A-6626-4DFB-8645-368904FA987E}">
      <text>
        <r>
          <rPr>
            <b/>
            <sz val="9"/>
            <color indexed="81"/>
            <rFont val="Tahoma"/>
            <family val="2"/>
          </rPr>
          <t>bach-:</t>
        </r>
        <r>
          <rPr>
            <sz val="9"/>
            <color indexed="81"/>
            <rFont val="Tahoma"/>
            <family val="2"/>
          </rPr>
          <t xml:space="preserve">
Adverse</t>
        </r>
      </text>
    </comment>
    <comment ref="F94" authorId="9" shapeId="0" xr:uid="{8C71BF61-84DC-43A8-BE33-4503871B7C32}">
      <text>
        <r>
          <rPr>
            <b/>
            <sz val="9"/>
            <color indexed="81"/>
            <rFont val="Tahoma"/>
            <family val="2"/>
          </rPr>
          <t>khoin:</t>
        </r>
        <r>
          <rPr>
            <sz val="9"/>
            <color indexed="81"/>
            <rFont val="Tahoma"/>
            <family val="2"/>
          </rPr>
          <t xml:space="preserve">
3 mg/m2 on days 1, 3 and 5 (Hyperfractionated schedule)</t>
        </r>
      </text>
    </comment>
    <comment ref="Q94" authorId="9" shapeId="0" xr:uid="{72EFFFCA-BA4E-45DC-BD05-5359FEA208E7}">
      <text>
        <r>
          <rPr>
            <b/>
            <sz val="9"/>
            <color indexed="81"/>
            <rFont val="Tahoma"/>
            <family val="2"/>
          </rPr>
          <t>khoin:</t>
        </r>
        <r>
          <rPr>
            <sz val="9"/>
            <color indexed="81"/>
            <rFont val="Tahoma"/>
            <family val="2"/>
          </rPr>
          <t xml:space="preserve">
assumed from inclusion criteria</t>
        </r>
      </text>
    </comment>
    <comment ref="V94" authorId="9" shapeId="0" xr:uid="{A3189D41-483B-4CC8-B0C0-D578C32D2DC5}">
      <text>
        <r>
          <rPr>
            <b/>
            <sz val="9"/>
            <color indexed="81"/>
            <rFont val="Tahoma"/>
            <family val="2"/>
          </rPr>
          <t>khoin:</t>
        </r>
        <r>
          <rPr>
            <sz val="9"/>
            <color indexed="81"/>
            <rFont val="Tahoma"/>
            <family val="2"/>
          </rPr>
          <t xml:space="preserve">
WHO PS 0 + 1
10 (34.5%) + 10 (34.5%) 
= 20 (79.0%)</t>
        </r>
      </text>
    </comment>
    <comment ref="Z94" authorId="9" shapeId="0" xr:uid="{3F1132BE-A792-4D29-8151-7842FF0D80FB}">
      <text>
        <r>
          <rPr>
            <b/>
            <sz val="9"/>
            <color indexed="81"/>
            <rFont val="Tahoma"/>
            <family val="2"/>
          </rPr>
          <t>khoin:</t>
        </r>
        <r>
          <rPr>
            <sz val="9"/>
            <color indexed="81"/>
            <rFont val="Tahoma"/>
            <family val="2"/>
          </rPr>
          <t xml:space="preserve">
favorable + intermediate: 
0 (0%) + 11 (38%)</t>
        </r>
      </text>
    </comment>
    <comment ref="AA94" authorId="9" shapeId="0" xr:uid="{11C80F36-715C-4D4B-8BF8-86AE10DF4AB6}">
      <text>
        <r>
          <rPr>
            <b/>
            <sz val="9"/>
            <color indexed="81"/>
            <rFont val="Tahoma"/>
            <family val="2"/>
          </rPr>
          <t>khoin:</t>
        </r>
        <r>
          <rPr>
            <sz val="9"/>
            <color indexed="81"/>
            <rFont val="Tahoma"/>
            <family val="2"/>
          </rPr>
          <t xml:space="preserve">
"unfavorable"</t>
        </r>
      </text>
    </comment>
    <comment ref="AK94" authorId="9" shapeId="0" xr:uid="{F9720855-3CE2-4B04-8837-C3781B92EE97}">
      <text>
        <r>
          <rPr>
            <b/>
            <sz val="9"/>
            <color indexed="81"/>
            <rFont val="Tahoma"/>
            <family val="2"/>
          </rPr>
          <t>khoin:</t>
        </r>
        <r>
          <rPr>
            <sz val="9"/>
            <color indexed="81"/>
            <rFont val="Tahoma"/>
            <family val="2"/>
          </rPr>
          <t xml:space="preserve">
CRp: 0 (0%)</t>
        </r>
      </text>
    </comment>
    <comment ref="AY94" authorId="9" shapeId="0" xr:uid="{501D1B82-7630-4C0C-9150-33C095DD159A}">
      <text>
        <r>
          <rPr>
            <b/>
            <sz val="9"/>
            <color indexed="81"/>
            <rFont val="Tahoma"/>
            <family val="2"/>
          </rPr>
          <t>khoin:</t>
        </r>
        <r>
          <rPr>
            <sz val="9"/>
            <color indexed="81"/>
            <rFont val="Tahoma"/>
            <family val="2"/>
          </rPr>
          <t xml:space="preserve">
Grade 3 + 4:
8 (28%) + 1 (3%)</t>
        </r>
      </text>
    </comment>
    <comment ref="BM94" authorId="9" shapeId="0" xr:uid="{2CF2B073-B678-442E-89C6-62C243B56871}">
      <text>
        <r>
          <rPr>
            <b/>
            <sz val="9"/>
            <color indexed="81"/>
            <rFont val="Tahoma"/>
            <family val="2"/>
          </rPr>
          <t>khoin:</t>
        </r>
        <r>
          <rPr>
            <sz val="9"/>
            <color indexed="81"/>
            <rFont val="Tahoma"/>
            <family val="2"/>
          </rPr>
          <t xml:space="preserve">
Grade 3 + 4 + 5:
7 (24%) + 0 (0%) + 2 (7%)</t>
        </r>
      </text>
    </comment>
    <comment ref="F95" authorId="9" shapeId="0" xr:uid="{5E4086C2-AB9A-41D5-B077-D3B2C5B4DCDE}">
      <text>
        <r>
          <rPr>
            <b/>
            <sz val="9"/>
            <color indexed="81"/>
            <rFont val="Tahoma"/>
            <family val="2"/>
          </rPr>
          <t>khoin:</t>
        </r>
        <r>
          <rPr>
            <sz val="9"/>
            <color indexed="81"/>
            <rFont val="Tahoma"/>
            <family val="2"/>
          </rPr>
          <t xml:space="preserve">
6 mg/m2 on day 1 and 3 mg/m2 on day 8 (Condensed schedule)</t>
        </r>
      </text>
    </comment>
    <comment ref="Q95" authorId="9" shapeId="0" xr:uid="{BAB18975-A391-42CD-AEE0-3AA3D51EC94F}">
      <text>
        <r>
          <rPr>
            <b/>
            <sz val="9"/>
            <color indexed="81"/>
            <rFont val="Tahoma"/>
            <family val="2"/>
          </rPr>
          <t>khoin:</t>
        </r>
        <r>
          <rPr>
            <sz val="9"/>
            <color indexed="81"/>
            <rFont val="Tahoma"/>
            <family val="2"/>
          </rPr>
          <t xml:space="preserve">
assumed from inclusion criteria</t>
        </r>
      </text>
    </comment>
    <comment ref="V95" authorId="9" shapeId="0" xr:uid="{9E78B307-08FD-430B-8E98-18C75E948D1E}">
      <text>
        <r>
          <rPr>
            <b/>
            <sz val="9"/>
            <color indexed="81"/>
            <rFont val="Tahoma"/>
            <family val="2"/>
          </rPr>
          <t>khoin:</t>
        </r>
        <r>
          <rPr>
            <sz val="9"/>
            <color indexed="81"/>
            <rFont val="Tahoma"/>
            <family val="2"/>
          </rPr>
          <t xml:space="preserve">
WHO PS 0 + 1 
10 (37) + 10 (37) 
=20 (74%)</t>
        </r>
      </text>
    </comment>
    <comment ref="Z95" authorId="9" shapeId="0" xr:uid="{6483129A-F594-45B1-9E11-52A86B31C30F}">
      <text>
        <r>
          <rPr>
            <b/>
            <sz val="9"/>
            <color indexed="81"/>
            <rFont val="Tahoma"/>
            <family val="2"/>
          </rPr>
          <t>khoin:</t>
        </r>
        <r>
          <rPr>
            <sz val="9"/>
            <color indexed="81"/>
            <rFont val="Tahoma"/>
            <family val="2"/>
          </rPr>
          <t xml:space="preserve">
Favorable + intermediate:
0 (0%) + 11 (41%)</t>
        </r>
      </text>
    </comment>
    <comment ref="AA95" authorId="9" shapeId="0" xr:uid="{125042C9-9D93-4929-89E8-50495CE87683}">
      <text>
        <r>
          <rPr>
            <b/>
            <sz val="9"/>
            <color indexed="81"/>
            <rFont val="Tahoma"/>
            <family val="2"/>
          </rPr>
          <t>khoin:</t>
        </r>
        <r>
          <rPr>
            <sz val="9"/>
            <color indexed="81"/>
            <rFont val="Tahoma"/>
            <family val="2"/>
          </rPr>
          <t xml:space="preserve">
"unfavorable"</t>
        </r>
      </text>
    </comment>
    <comment ref="AK95" authorId="9" shapeId="0" xr:uid="{5AAB013B-19BE-48C4-A50E-2EE22C475211}">
      <text>
        <r>
          <rPr>
            <b/>
            <sz val="9"/>
            <color indexed="81"/>
            <rFont val="Tahoma"/>
            <family val="2"/>
          </rPr>
          <t>khoin:</t>
        </r>
        <r>
          <rPr>
            <sz val="9"/>
            <color indexed="81"/>
            <rFont val="Tahoma"/>
            <family val="2"/>
          </rPr>
          <t xml:space="preserve">
CRp: 1 (4%)</t>
        </r>
      </text>
    </comment>
    <comment ref="AY95" authorId="9" shapeId="0" xr:uid="{39061396-FEEE-44B8-9170-70D48370D276}">
      <text>
        <r>
          <rPr>
            <b/>
            <sz val="9"/>
            <color indexed="81"/>
            <rFont val="Tahoma"/>
            <family val="2"/>
          </rPr>
          <t>khoin:</t>
        </r>
        <r>
          <rPr>
            <sz val="9"/>
            <color indexed="81"/>
            <rFont val="Tahoma"/>
            <family val="2"/>
          </rPr>
          <t xml:space="preserve">
Grade 3 + 4:
3 (11%) + 0 (0%)
</t>
        </r>
      </text>
    </comment>
    <comment ref="BM95" authorId="9" shapeId="0" xr:uid="{55B8A080-49FE-44EC-8F54-B01A18A76AD9}">
      <text>
        <r>
          <rPr>
            <b/>
            <sz val="9"/>
            <color indexed="81"/>
            <rFont val="Tahoma"/>
            <family val="2"/>
          </rPr>
          <t>khoin:</t>
        </r>
        <r>
          <rPr>
            <sz val="9"/>
            <color indexed="81"/>
            <rFont val="Tahoma"/>
            <family val="2"/>
          </rPr>
          <t xml:space="preserve">
Grade 3 + 4 + 5:
11 (41%) + 2 (7%) + 1 (4%)</t>
        </r>
      </text>
    </comment>
    <comment ref="F96" authorId="8" shapeId="0" xr:uid="{6F795934-75DF-4035-ACAE-53433CD39073}">
      <text>
        <r>
          <rPr>
            <b/>
            <sz val="9"/>
            <color indexed="81"/>
            <rFont val="Tahoma"/>
            <family val="2"/>
          </rPr>
          <t>bach-:</t>
        </r>
        <r>
          <rPr>
            <sz val="9"/>
            <color indexed="81"/>
            <rFont val="Tahoma"/>
            <family val="2"/>
          </rPr>
          <t xml:space="preserve">
Regimen consisting of hydroxyurea followed by azacitidine, 75 mg/m2 for 7 days, and gemtuzumab ozogamicin, 3 mg/m2 on day 8.</t>
        </r>
      </text>
    </comment>
    <comment ref="J96" authorId="8" shapeId="0" xr:uid="{B39A4EED-9727-4D69-A52B-75335CBE0369}">
      <text>
        <r>
          <rPr>
            <b/>
            <sz val="9"/>
            <color indexed="81"/>
            <rFont val="Tahoma"/>
            <family val="2"/>
          </rPr>
          <t>bach-:</t>
        </r>
        <r>
          <rPr>
            <sz val="9"/>
            <color indexed="81"/>
            <rFont val="Tahoma"/>
            <family val="2"/>
          </rPr>
          <t xml:space="preserve">
A total of 83 patients were accrued in the good-risk category, but 79 evaluable patients are included in this analysis.</t>
        </r>
      </text>
    </comment>
    <comment ref="L96" authorId="8" shapeId="0" xr:uid="{8B2815AF-A217-4DE5-BA48-49F1856B7BF0}">
      <text>
        <r>
          <rPr>
            <b/>
            <sz val="9"/>
            <color indexed="81"/>
            <rFont val="Tahoma"/>
            <family val="2"/>
          </rPr>
          <t>bach-:</t>
        </r>
        <r>
          <rPr>
            <sz val="9"/>
            <color indexed="81"/>
            <rFont val="Tahoma"/>
            <family val="2"/>
          </rPr>
          <t xml:space="preserve">
Range: 60-88</t>
        </r>
      </text>
    </comment>
    <comment ref="N96" authorId="8" shapeId="0" xr:uid="{BEDA8E04-BD8A-43D1-9247-A541C52AA10E}">
      <text>
        <r>
          <rPr>
            <b/>
            <sz val="9"/>
            <color indexed="81"/>
            <rFont val="Tahoma"/>
            <family val="2"/>
          </rPr>
          <t>bach-:</t>
        </r>
        <r>
          <rPr>
            <sz val="9"/>
            <color indexed="81"/>
            <rFont val="Tahoma"/>
            <family val="2"/>
          </rPr>
          <t xml:space="preserve">
49/79 = 62.0%</t>
        </r>
      </text>
    </comment>
    <comment ref="O96" authorId="8" shapeId="0" xr:uid="{2C571E94-D112-494D-87BD-EF55B14C888D}">
      <text>
        <r>
          <rPr>
            <b/>
            <sz val="9"/>
            <color indexed="81"/>
            <rFont val="Tahoma"/>
            <family val="2"/>
          </rPr>
          <t>bach-:</t>
        </r>
        <r>
          <rPr>
            <sz val="9"/>
            <color indexed="81"/>
            <rFont val="Tahoma"/>
            <family val="2"/>
          </rPr>
          <t xml:space="preserve">
49/79 = 62.0%</t>
        </r>
      </text>
    </comment>
    <comment ref="Q96" authorId="8" shapeId="0" xr:uid="{5313CF76-0ECB-4839-A6F0-4B89576B4526}">
      <text>
        <r>
          <rPr>
            <b/>
            <sz val="9"/>
            <color indexed="81"/>
            <rFont val="Tahoma"/>
            <family val="2"/>
          </rPr>
          <t>bach-:</t>
        </r>
        <r>
          <rPr>
            <sz val="9"/>
            <color indexed="81"/>
            <rFont val="Tahoma"/>
            <family val="2"/>
          </rPr>
          <t xml:space="preserve">
Assumed from inclusion criteria</t>
        </r>
      </text>
    </comment>
    <comment ref="V96" authorId="8" shapeId="0" xr:uid="{2CC609F5-B4E0-4601-84E9-A53997467B8A}">
      <text>
        <r>
          <rPr>
            <b/>
            <sz val="9"/>
            <color indexed="81"/>
            <rFont val="Tahoma"/>
            <family val="2"/>
          </rPr>
          <t>bach-:</t>
        </r>
        <r>
          <rPr>
            <sz val="9"/>
            <color indexed="81"/>
            <rFont val="Tahoma"/>
            <family val="2"/>
          </rPr>
          <t xml:space="preserve">
Zubrod PS 0-1: 79 (100%)
Assumed from inclusion criteria</t>
        </r>
      </text>
    </comment>
    <comment ref="X96" authorId="8" shapeId="0" xr:uid="{9C57E5B8-3699-4EB9-ABE7-42BDE2E118E8}">
      <text>
        <r>
          <rPr>
            <b/>
            <sz val="9"/>
            <color indexed="81"/>
            <rFont val="Tahoma"/>
            <family val="2"/>
          </rPr>
          <t>bach-:</t>
        </r>
        <r>
          <rPr>
            <sz val="9"/>
            <color indexed="81"/>
            <rFont val="Tahoma"/>
            <family val="2"/>
          </rPr>
          <t xml:space="preserve">
49/79 = 62.0%</t>
        </r>
      </text>
    </comment>
    <comment ref="AK96" authorId="8" shapeId="0" xr:uid="{71B40769-ABC1-453F-8CD0-6276B357087C}">
      <text>
        <r>
          <rPr>
            <b/>
            <sz val="9"/>
            <color indexed="81"/>
            <rFont val="Tahoma"/>
            <family val="2"/>
          </rPr>
          <t>bach-:</t>
        </r>
        <r>
          <rPr>
            <sz val="9"/>
            <color indexed="81"/>
            <rFont val="Tahoma"/>
            <family val="2"/>
          </rPr>
          <t xml:space="preserve">
CR: 23 patients/79 = 29.1%
CRi: 12 patients/79 = 15.2% </t>
        </r>
      </text>
    </comment>
    <comment ref="AN96" authorId="8" shapeId="0" xr:uid="{88256C1C-D59B-4B48-9EFE-A7A852A6CE78}">
      <text>
        <r>
          <rPr>
            <b/>
            <sz val="9"/>
            <color indexed="81"/>
            <rFont val="Tahoma"/>
            <family val="2"/>
          </rPr>
          <t>bach-:</t>
        </r>
        <r>
          <rPr>
            <sz val="9"/>
            <color indexed="81"/>
            <rFont val="Tahoma"/>
            <family val="2"/>
          </rPr>
          <t xml:space="preserve">
CR: 23 patients/79 = 29.1%
CRi: 12 patients/79 = 15.2% </t>
        </r>
      </text>
    </comment>
    <comment ref="AQ96" authorId="8" shapeId="0" xr:uid="{466944B5-E0E4-4866-872D-37EF4FE145C7}">
      <text>
        <r>
          <rPr>
            <b/>
            <sz val="9"/>
            <color indexed="81"/>
            <rFont val="Tahoma"/>
            <family val="2"/>
          </rPr>
          <t xml:space="preserve">bach-:
</t>
        </r>
        <r>
          <rPr>
            <sz val="9"/>
            <color indexed="81"/>
            <rFont val="Tahoma"/>
            <family val="2"/>
          </rPr>
          <t>Time to best response for the whole population (good-risk group + poor-risk group)</t>
        </r>
      </text>
    </comment>
    <comment ref="AS96" authorId="8" shapeId="0" xr:uid="{20F5ADCA-D28F-4AE0-BDF1-E1688129427D}">
      <text>
        <r>
          <rPr>
            <b/>
            <sz val="9"/>
            <color indexed="81"/>
            <rFont val="Tahoma"/>
            <family val="2"/>
          </rPr>
          <t xml:space="preserve">bach-:
</t>
        </r>
        <r>
          <rPr>
            <sz val="9"/>
            <color indexed="81"/>
            <rFont val="Tahoma"/>
            <family val="2"/>
          </rPr>
          <t>Time to best response for the whole population (good-risk group + poor-risk group)</t>
        </r>
      </text>
    </comment>
    <comment ref="AZ96" authorId="8" shapeId="0" xr:uid="{1A5C66AF-F9E2-4A17-B2CB-DC96CC83239A}">
      <text>
        <r>
          <rPr>
            <b/>
            <sz val="9"/>
            <color indexed="81"/>
            <rFont val="Tahoma"/>
            <family val="2"/>
          </rPr>
          <t>bach-:</t>
        </r>
        <r>
          <rPr>
            <sz val="9"/>
            <color indexed="81"/>
            <rFont val="Tahoma"/>
            <family val="2"/>
          </rPr>
          <t xml:space="preserve">
28 grade 3 and 3 grade 4.
(28+3)/79= 39.2%</t>
        </r>
      </text>
    </comment>
    <comment ref="BM96" authorId="8" shapeId="0" xr:uid="{5451B401-F468-4265-927F-A894944849A1}">
      <text>
        <r>
          <rPr>
            <b/>
            <sz val="9"/>
            <color indexed="81"/>
            <rFont val="Tahoma"/>
            <family val="2"/>
          </rPr>
          <t>bach-:</t>
        </r>
        <r>
          <rPr>
            <sz val="9"/>
            <color indexed="81"/>
            <rFont val="Tahoma"/>
            <family val="2"/>
          </rPr>
          <t xml:space="preserve">
Data extracted from Table 2, but data was was consistent with full text.
31/79 = 39.2%</t>
        </r>
      </text>
    </comment>
    <comment ref="F97" authorId="8" shapeId="0" xr:uid="{5F4404CF-0D2C-4FBA-AE0C-6175D6BE0734}">
      <text>
        <r>
          <rPr>
            <b/>
            <sz val="9"/>
            <color indexed="81"/>
            <rFont val="Tahoma"/>
            <family val="2"/>
          </rPr>
          <t>bach-:</t>
        </r>
        <r>
          <rPr>
            <sz val="9"/>
            <color indexed="81"/>
            <rFont val="Tahoma"/>
            <family val="2"/>
          </rPr>
          <t xml:space="preserve">
Regimen consisting of hydroxyurea followed by azacitidine, 75 mg/m2 for 7 days, and gemtuzumab ozogamicin, 3 mg/m2 on day 8.</t>
        </r>
      </text>
    </comment>
    <comment ref="N97" authorId="8" shapeId="0" xr:uid="{2F84DFFA-4C14-44C1-8C52-79025393D245}">
      <text>
        <r>
          <rPr>
            <b/>
            <sz val="9"/>
            <color indexed="81"/>
            <rFont val="Tahoma"/>
            <family val="2"/>
          </rPr>
          <t>bach-:</t>
        </r>
        <r>
          <rPr>
            <sz val="9"/>
            <color indexed="81"/>
            <rFont val="Tahoma"/>
            <family val="2"/>
          </rPr>
          <t xml:space="preserve">
33/54 = 61.1%</t>
        </r>
      </text>
    </comment>
    <comment ref="Q97" authorId="8" shapeId="0" xr:uid="{D1DB70D6-5EF5-4E8D-94D1-69109E7DBAB2}">
      <text>
        <r>
          <rPr>
            <b/>
            <sz val="9"/>
            <color indexed="81"/>
            <rFont val="Tahoma"/>
            <family val="2"/>
          </rPr>
          <t>bach-:</t>
        </r>
        <r>
          <rPr>
            <sz val="9"/>
            <color indexed="81"/>
            <rFont val="Tahoma"/>
            <family val="2"/>
          </rPr>
          <t xml:space="preserve">
Assumed from inclusion criteria</t>
        </r>
      </text>
    </comment>
    <comment ref="V97" authorId="8" shapeId="0" xr:uid="{3C7EE302-07A6-47AA-BC56-4C0D981A49E2}">
      <text>
        <r>
          <rPr>
            <b/>
            <sz val="9"/>
            <color indexed="81"/>
            <rFont val="Tahoma"/>
            <family val="2"/>
          </rPr>
          <t>bach-:</t>
        </r>
        <r>
          <rPr>
            <sz val="9"/>
            <color indexed="81"/>
            <rFont val="Tahoma"/>
            <family val="2"/>
          </rPr>
          <t xml:space="preserve">
Zubrod PS 0-1: 0 (0%) </t>
        </r>
      </text>
    </comment>
    <comment ref="AL97" authorId="8" shapeId="0" xr:uid="{DB602035-AE38-4C9A-A377-CB220CD758C0}">
      <text>
        <r>
          <rPr>
            <b/>
            <sz val="9"/>
            <color indexed="81"/>
            <rFont val="Tahoma"/>
            <family val="2"/>
          </rPr>
          <t>bach-:</t>
        </r>
        <r>
          <rPr>
            <sz val="9"/>
            <color indexed="81"/>
            <rFont val="Tahoma"/>
            <family val="2"/>
          </rPr>
          <t xml:space="preserve">
19 patients/54 = 35.2%</t>
        </r>
      </text>
    </comment>
    <comment ref="AQ97" authorId="8" shapeId="0" xr:uid="{B80A02A0-C85B-4ACD-B2DE-38F3E17AAF68}">
      <text>
        <r>
          <rPr>
            <b/>
            <sz val="9"/>
            <color indexed="81"/>
            <rFont val="Tahoma"/>
            <family val="2"/>
          </rPr>
          <t xml:space="preserve">bach-:
</t>
        </r>
        <r>
          <rPr>
            <sz val="9"/>
            <color indexed="81"/>
            <rFont val="Tahoma"/>
            <family val="2"/>
          </rPr>
          <t>Time to best response for the whole population (good-risk group + poor-risk group)</t>
        </r>
      </text>
    </comment>
    <comment ref="AS97" authorId="8" shapeId="0" xr:uid="{7472B895-CAD3-4298-BBAB-CE843F287D2A}">
      <text>
        <r>
          <rPr>
            <b/>
            <sz val="9"/>
            <color indexed="81"/>
            <rFont val="Tahoma"/>
            <family val="2"/>
          </rPr>
          <t xml:space="preserve">bach-:
</t>
        </r>
        <r>
          <rPr>
            <sz val="9"/>
            <color indexed="81"/>
            <rFont val="Tahoma"/>
            <family val="2"/>
          </rPr>
          <t>Time to best response for the whole population (good-risk group + poor-risk group)</t>
        </r>
      </text>
    </comment>
    <comment ref="AZ97" authorId="8" shapeId="0" xr:uid="{09595C90-ACC5-4F6A-9445-8A96A6A8B37F}">
      <text>
        <r>
          <rPr>
            <b/>
            <sz val="9"/>
            <color indexed="81"/>
            <rFont val="Tahoma"/>
            <family val="2"/>
          </rPr>
          <t>bach-:</t>
        </r>
        <r>
          <rPr>
            <sz val="9"/>
            <color indexed="81"/>
            <rFont val="Tahoma"/>
            <family val="2"/>
          </rPr>
          <t xml:space="preserve">
1/54= 1.9%</t>
        </r>
      </text>
    </comment>
    <comment ref="BM97" authorId="8" shapeId="0" xr:uid="{238CCDFC-1A5C-4979-AC62-85B7219CB10C}">
      <text>
        <r>
          <rPr>
            <b/>
            <sz val="9"/>
            <color indexed="81"/>
            <rFont val="Tahoma"/>
            <family val="2"/>
          </rPr>
          <t>bach-:</t>
        </r>
        <r>
          <rPr>
            <sz val="9"/>
            <color indexed="81"/>
            <rFont val="Tahoma"/>
            <family val="2"/>
          </rPr>
          <t xml:space="preserve">
19/54= 35.2%</t>
        </r>
      </text>
    </comment>
    <comment ref="E98" authorId="9" shapeId="0" xr:uid="{B1F0C4D4-7CD2-4109-A020-BD64C33A6ABD}">
      <text>
        <r>
          <rPr>
            <b/>
            <sz val="9"/>
            <color indexed="81"/>
            <rFont val="Tahoma"/>
            <family val="2"/>
          </rPr>
          <t>khoin:</t>
        </r>
        <r>
          <rPr>
            <sz val="9"/>
            <color indexed="81"/>
            <rFont val="Tahoma"/>
            <family val="2"/>
          </rPr>
          <t xml:space="preserve">
All patients were randomly assigned to receive or not receive interleukin-11</t>
        </r>
      </text>
    </comment>
    <comment ref="R98" authorId="9" shapeId="0" xr:uid="{357D3101-9E13-4393-B0B6-E98E37A39DE7}">
      <text>
        <r>
          <rPr>
            <b/>
            <sz val="9"/>
            <color indexed="81"/>
            <rFont val="Tahoma"/>
            <family val="2"/>
          </rPr>
          <t>khoin:</t>
        </r>
        <r>
          <rPr>
            <sz val="9"/>
            <color indexed="81"/>
            <rFont val="Tahoma"/>
            <family val="2"/>
          </rPr>
          <t xml:space="preserve">
Table 4
AML (versus MDS)
25 (100%) - 17 (68%)</t>
        </r>
      </text>
    </comment>
    <comment ref="V98" authorId="9" shapeId="0" xr:uid="{45F11D82-748D-495C-B844-7756E25C78A4}">
      <text>
        <r>
          <rPr>
            <b/>
            <sz val="9"/>
            <color indexed="81"/>
            <rFont val="Tahoma"/>
            <family val="2"/>
          </rPr>
          <t>khoin:</t>
        </r>
        <r>
          <rPr>
            <sz val="9"/>
            <color indexed="81"/>
            <rFont val="Tahoma"/>
            <family val="2"/>
          </rPr>
          <t xml:space="preserve">
Zubrod PS 3-4:
1 (4%)</t>
        </r>
      </text>
    </comment>
    <comment ref="R99" authorId="9" shapeId="0" xr:uid="{F4279CDF-AF42-41B2-A82B-99DEF2BD0C1C}">
      <text>
        <r>
          <rPr>
            <b/>
            <sz val="9"/>
            <color indexed="81"/>
            <rFont val="Tahoma"/>
            <family val="2"/>
          </rPr>
          <t>khoin:</t>
        </r>
        <r>
          <rPr>
            <sz val="9"/>
            <color indexed="81"/>
            <rFont val="Tahoma"/>
            <family val="2"/>
          </rPr>
          <t xml:space="preserve">
Table 4
AML (versus MDS)
26 (100%) - 20 (77%)
</t>
        </r>
      </text>
    </comment>
    <comment ref="V99" authorId="9" shapeId="0" xr:uid="{E84B741C-E18C-43A7-B204-2A35473BE358}">
      <text>
        <r>
          <rPr>
            <b/>
            <sz val="9"/>
            <color indexed="81"/>
            <rFont val="Tahoma"/>
            <family val="2"/>
          </rPr>
          <t>khoin:</t>
        </r>
        <r>
          <rPr>
            <sz val="9"/>
            <color indexed="81"/>
            <rFont val="Tahoma"/>
            <family val="2"/>
          </rPr>
          <t xml:space="preserve">
Zubrod PS 3-4:
6 (23%)
</t>
        </r>
      </text>
    </comment>
    <comment ref="E100" authorId="8" shapeId="0" xr:uid="{5F82AF07-9308-4521-956B-A983E344AC4C}">
      <text>
        <r>
          <rPr>
            <b/>
            <sz val="9"/>
            <color indexed="81"/>
            <rFont val="Tahoma"/>
            <family val="2"/>
          </rPr>
          <t>bach-:</t>
        </r>
        <r>
          <rPr>
            <sz val="9"/>
            <color indexed="81"/>
            <rFont val="Tahoma"/>
            <family val="2"/>
          </rPr>
          <t xml:space="preserve">
Single-arm, assumed from method</t>
        </r>
      </text>
    </comment>
    <comment ref="F100" authorId="8" shapeId="0" xr:uid="{EF058048-294D-4521-9E33-8CDCD0248AED}">
      <text>
        <r>
          <rPr>
            <b/>
            <sz val="9"/>
            <color indexed="81"/>
            <rFont val="Tahoma"/>
            <family val="2"/>
          </rPr>
          <t>bach-:</t>
        </r>
        <r>
          <rPr>
            <sz val="9"/>
            <color indexed="81"/>
            <rFont val="Tahoma"/>
            <family val="2"/>
          </rPr>
          <t xml:space="preserve">
GEM at 9 mg/m2 given twice, 2 weeks apart (on days 1, and 15).</t>
        </r>
      </text>
    </comment>
    <comment ref="L100" authorId="8" shapeId="0" xr:uid="{FA0C576E-0726-49F6-86B3-02C2C4F2F753}">
      <text>
        <r>
          <rPr>
            <b/>
            <sz val="9"/>
            <color indexed="81"/>
            <rFont val="Tahoma"/>
            <family val="2"/>
          </rPr>
          <t>bach-:</t>
        </r>
        <r>
          <rPr>
            <sz val="9"/>
            <color indexed="81"/>
            <rFont val="Tahoma"/>
            <family val="2"/>
          </rPr>
          <t xml:space="preserve">
Range: 66-79</t>
        </r>
      </text>
    </comment>
    <comment ref="M100" authorId="8" shapeId="0" xr:uid="{5FB2129B-56E9-41BF-85B4-D8951F6573B6}">
      <text>
        <r>
          <rPr>
            <b/>
            <sz val="9"/>
            <color indexed="81"/>
            <rFont val="Tahoma"/>
            <family val="2"/>
          </rPr>
          <t>bach-:</t>
        </r>
        <r>
          <rPr>
            <sz val="9"/>
            <color indexed="81"/>
            <rFont val="Tahoma"/>
            <family val="2"/>
          </rPr>
          <t xml:space="preserve">
Range: 66-79</t>
        </r>
      </text>
    </comment>
    <comment ref="O100" authorId="8" shapeId="0" xr:uid="{3D2952D6-1E50-42BF-B029-23A5D3F1B529}">
      <text>
        <r>
          <rPr>
            <b/>
            <sz val="9"/>
            <color indexed="81"/>
            <rFont val="Tahoma"/>
            <family val="2"/>
          </rPr>
          <t>bach-:</t>
        </r>
        <r>
          <rPr>
            <sz val="9"/>
            <color indexed="81"/>
            <rFont val="Tahoma"/>
            <family val="2"/>
          </rPr>
          <t xml:space="preserve">
Range: 66-79</t>
        </r>
      </text>
    </comment>
    <comment ref="R100" authorId="8" shapeId="0" xr:uid="{D88D53CE-022E-401B-80A6-A169078EBCF2}">
      <text>
        <r>
          <rPr>
            <b/>
            <sz val="9"/>
            <color indexed="81"/>
            <rFont val="Tahoma"/>
            <family val="2"/>
          </rPr>
          <t>bach-:</t>
        </r>
        <r>
          <rPr>
            <sz val="9"/>
            <color indexed="81"/>
            <rFont val="Tahoma"/>
            <family val="2"/>
          </rPr>
          <t xml:space="preserve">
Progressing from MDS: 2 (16.7%)</t>
        </r>
      </text>
    </comment>
    <comment ref="X100" authorId="8" shapeId="0" xr:uid="{6E6D9E51-2475-45A2-94A4-E76D7D0F1310}">
      <text>
        <r>
          <rPr>
            <b/>
            <sz val="9"/>
            <color indexed="81"/>
            <rFont val="Tahoma"/>
            <family val="2"/>
          </rPr>
          <t>bach-:</t>
        </r>
        <r>
          <rPr>
            <sz val="9"/>
            <color indexed="81"/>
            <rFont val="Tahoma"/>
            <family val="2"/>
          </rPr>
          <t xml:space="preserve">
Range: 66-79</t>
        </r>
      </text>
    </comment>
    <comment ref="BA100" authorId="8" shapeId="0" xr:uid="{E26A62B5-2E3D-412B-8B07-7553FB82CC39}">
      <text>
        <r>
          <rPr>
            <b/>
            <sz val="9"/>
            <color indexed="81"/>
            <rFont val="Tahoma"/>
            <family val="2"/>
          </rPr>
          <t>bach-:</t>
        </r>
        <r>
          <rPr>
            <sz val="9"/>
            <color indexed="81"/>
            <rFont val="Tahoma"/>
            <family val="2"/>
          </rPr>
          <t xml:space="preserve">
Grade 2: 3 (25%)</t>
        </r>
      </text>
    </comment>
    <comment ref="BC100" authorId="8" shapeId="0" xr:uid="{4A3F58EF-509C-4EBA-9C65-142F25554805}">
      <text>
        <r>
          <rPr>
            <b/>
            <sz val="9"/>
            <color indexed="81"/>
            <rFont val="Tahoma"/>
            <family val="2"/>
          </rPr>
          <t>bach-:</t>
        </r>
        <r>
          <rPr>
            <sz val="9"/>
            <color indexed="81"/>
            <rFont val="Tahoma"/>
            <family val="2"/>
          </rPr>
          <t xml:space="preserve">
Grade 2: 6 (50%)</t>
        </r>
      </text>
    </comment>
    <comment ref="BE100" authorId="8" shapeId="0" xr:uid="{81D0B6C9-39AE-4E9E-99DE-65540F1B8C73}">
      <text>
        <r>
          <rPr>
            <b/>
            <sz val="9"/>
            <color indexed="81"/>
            <rFont val="Tahoma"/>
            <family val="2"/>
          </rPr>
          <t>bach-:</t>
        </r>
        <r>
          <rPr>
            <sz val="9"/>
            <color indexed="81"/>
            <rFont val="Tahoma"/>
            <family val="2"/>
          </rPr>
          <t xml:space="preserve">
Grade ≥2: 3 (25%)</t>
        </r>
      </text>
    </comment>
    <comment ref="BK100" authorId="8" shapeId="0" xr:uid="{D4C811BD-740D-4B6C-8BE5-AAF053FE2382}">
      <text>
        <r>
          <rPr>
            <b/>
            <sz val="9"/>
            <color indexed="81"/>
            <rFont val="Tahoma"/>
            <family val="2"/>
          </rPr>
          <t>bach-:</t>
        </r>
        <r>
          <rPr>
            <sz val="9"/>
            <color indexed="81"/>
            <rFont val="Tahoma"/>
            <family val="2"/>
          </rPr>
          <t xml:space="preserve">
Grade ≥2 Edema: 4 (33%)</t>
        </r>
      </text>
    </comment>
    <comment ref="E101" authorId="8" shapeId="0" xr:uid="{791288A9-B313-45F2-A47F-4D29D8B694D9}">
      <text>
        <r>
          <rPr>
            <b/>
            <sz val="9"/>
            <color indexed="81"/>
            <rFont val="Tahoma"/>
            <family val="2"/>
          </rPr>
          <t>bach-:</t>
        </r>
        <r>
          <rPr>
            <sz val="9"/>
            <color indexed="81"/>
            <rFont val="Tahoma"/>
            <family val="2"/>
          </rPr>
          <t xml:space="preserve">
Single-arm, assumed from method</t>
        </r>
      </text>
    </comment>
    <comment ref="F101" authorId="8" shapeId="0" xr:uid="{5C914CE3-448D-49A1-ABD5-34C41466B9EE}">
      <text>
        <r>
          <rPr>
            <b/>
            <sz val="9"/>
            <color indexed="81"/>
            <rFont val="Tahoma"/>
            <family val="2"/>
          </rPr>
          <t>bach-:</t>
        </r>
        <r>
          <rPr>
            <sz val="9"/>
            <color indexed="81"/>
            <rFont val="Tahoma"/>
            <family val="2"/>
          </rPr>
          <t xml:space="preserve">
The treatment was begun with HU 1500 mg orally twice daily to lower white blood cell count below 10,000/ɥL, followed by azacitidine 75 mg/m^2 subcutaneously for 7 days and GO 3 mg/m^2 on day 8.</t>
        </r>
      </text>
    </comment>
    <comment ref="L101" authorId="8" shapeId="0" xr:uid="{3F15B5F9-0A41-46ED-B566-96FD28243DD6}">
      <text>
        <r>
          <rPr>
            <b/>
            <sz val="9"/>
            <color indexed="81"/>
            <rFont val="Tahoma"/>
            <family val="2"/>
          </rPr>
          <t>bach-:</t>
        </r>
        <r>
          <rPr>
            <sz val="9"/>
            <color indexed="81"/>
            <rFont val="Tahoma"/>
            <family val="2"/>
          </rPr>
          <t xml:space="preserve">
Range: 64-83</t>
        </r>
      </text>
    </comment>
    <comment ref="M101" authorId="8" shapeId="0" xr:uid="{72DA84D2-4AD9-4419-87E4-6C02FD6BDE6E}">
      <text>
        <r>
          <rPr>
            <b/>
            <sz val="9"/>
            <color indexed="81"/>
            <rFont val="Tahoma"/>
            <family val="2"/>
          </rPr>
          <t>bach-:</t>
        </r>
        <r>
          <rPr>
            <sz val="9"/>
            <color indexed="81"/>
            <rFont val="Tahoma"/>
            <family val="2"/>
          </rPr>
          <t xml:space="preserve">
Range: 64-83</t>
        </r>
      </text>
    </comment>
    <comment ref="O101" authorId="8" shapeId="0" xr:uid="{C14C892F-F5E2-4BCF-9CEE-9440B85C5CEA}">
      <text>
        <r>
          <rPr>
            <b/>
            <sz val="9"/>
            <color indexed="81"/>
            <rFont val="Tahoma"/>
            <family val="2"/>
          </rPr>
          <t>bach-:</t>
        </r>
        <r>
          <rPr>
            <sz val="9"/>
            <color indexed="81"/>
            <rFont val="Tahoma"/>
            <family val="2"/>
          </rPr>
          <t xml:space="preserve">
Range: 64-83</t>
        </r>
      </text>
    </comment>
    <comment ref="S101" authorId="8" shapeId="0" xr:uid="{49E2D1CF-9FBD-4063-84EA-F0C34B8870AB}">
      <text>
        <r>
          <rPr>
            <b/>
            <sz val="9"/>
            <color indexed="81"/>
            <rFont val="Tahoma"/>
            <family val="2"/>
          </rPr>
          <t>bach-:</t>
        </r>
        <r>
          <rPr>
            <sz val="9"/>
            <color indexed="81"/>
            <rFont val="Tahoma"/>
            <family val="2"/>
          </rPr>
          <t xml:space="preserve">
AML: De Novo= 10 (50%), Secondary= 7 (35%)
MDS: De Novo= 0 (0%), Seconday= 2 (15%)</t>
        </r>
      </text>
    </comment>
    <comment ref="V101" authorId="8" shapeId="0" xr:uid="{04B2EACA-E5E8-4A4F-B5E6-51D91EA686DC}">
      <text>
        <r>
          <rPr>
            <b/>
            <sz val="9"/>
            <color indexed="81"/>
            <rFont val="Tahoma"/>
            <family val="2"/>
          </rPr>
          <t>bach-:</t>
        </r>
        <r>
          <rPr>
            <sz val="9"/>
            <color indexed="81"/>
            <rFont val="Tahoma"/>
            <family val="2"/>
          </rPr>
          <t xml:space="preserve">
Zubrod PS 0/1: 11 (55%)
PS 0 + PS 1
1 (5%) + 10 (50%)</t>
        </r>
      </text>
    </comment>
    <comment ref="X101" authorId="8" shapeId="0" xr:uid="{996F36AD-F8BF-4F72-AD09-A7E7AB0F8BEB}">
      <text>
        <r>
          <rPr>
            <b/>
            <sz val="9"/>
            <color indexed="81"/>
            <rFont val="Tahoma"/>
            <family val="2"/>
          </rPr>
          <t>bach-:</t>
        </r>
        <r>
          <rPr>
            <sz val="9"/>
            <color indexed="81"/>
            <rFont val="Tahoma"/>
            <family val="2"/>
          </rPr>
          <t xml:space="preserve">
Range: 64-83</t>
        </r>
      </text>
    </comment>
    <comment ref="Z101" authorId="8" shapeId="0" xr:uid="{90DA4FCF-3BC1-4AD7-8FA9-D74786637B36}">
      <text>
        <r>
          <rPr>
            <b/>
            <sz val="9"/>
            <color indexed="81"/>
            <rFont val="Tahoma"/>
            <family val="2"/>
          </rPr>
          <t>bach-:</t>
        </r>
        <r>
          <rPr>
            <sz val="9"/>
            <color indexed="81"/>
            <rFont val="Tahoma"/>
            <family val="2"/>
          </rPr>
          <t xml:space="preserve">
Normal cytogenetics</t>
        </r>
      </text>
    </comment>
    <comment ref="AA101" authorId="8" shapeId="0" xr:uid="{FA60DA3E-F92E-42B8-A5DD-8934768FA364}">
      <text>
        <r>
          <rPr>
            <b/>
            <sz val="9"/>
            <color indexed="81"/>
            <rFont val="Tahoma"/>
            <family val="2"/>
          </rPr>
          <t>bach-:</t>
        </r>
        <r>
          <rPr>
            <sz val="9"/>
            <color indexed="81"/>
            <rFont val="Tahoma"/>
            <family val="2"/>
          </rPr>
          <t xml:space="preserve">
Abnormal cytogenetics
No metaphase cytogenetics: 1 (5%)</t>
        </r>
      </text>
    </comment>
    <comment ref="AB101" authorId="8" shapeId="0" xr:uid="{A8527601-166D-46F8-9E0F-86D1A7F0B096}">
      <text>
        <r>
          <rPr>
            <b/>
            <sz val="9"/>
            <color indexed="81"/>
            <rFont val="Tahoma"/>
            <family val="2"/>
          </rPr>
          <t>bach-:</t>
        </r>
        <r>
          <rPr>
            <sz val="9"/>
            <color indexed="81"/>
            <rFont val="Tahoma"/>
            <family val="2"/>
          </rPr>
          <t xml:space="preserve">
1 cycle = 8 days
8 patients receive 1 cycle (8 days)
12 patients receive 2 cycles (16 days)
Median = (16+16)/2 = 16 days</t>
        </r>
      </text>
    </comment>
    <comment ref="AQ101" authorId="8" shapeId="0" xr:uid="{AF077C7A-C00B-45D5-99B2-30D6120852AD}">
      <text>
        <r>
          <rPr>
            <b/>
            <sz val="9"/>
            <color indexed="81"/>
            <rFont val="Tahoma"/>
            <family val="2"/>
          </rPr>
          <t>bach-:</t>
        </r>
        <r>
          <rPr>
            <sz val="9"/>
            <color indexed="81"/>
            <rFont val="Tahoma"/>
            <family val="2"/>
          </rPr>
          <t xml:space="preserve">
Duration to CR = 8 months
Duration to CR in days = 8 months x 30.4 days/months = 243.2 days</t>
        </r>
      </text>
    </comment>
    <comment ref="AR101" authorId="8" shapeId="0" xr:uid="{38F4A74F-460D-4824-A752-9BB7D1D04709}">
      <text>
        <r>
          <rPr>
            <b/>
            <sz val="9"/>
            <color indexed="81"/>
            <rFont val="Tahoma"/>
            <family val="2"/>
          </rPr>
          <t>bach-:</t>
        </r>
        <r>
          <rPr>
            <sz val="9"/>
            <color indexed="81"/>
            <rFont val="Tahoma"/>
            <family val="2"/>
          </rPr>
          <t xml:space="preserve">
Range (months): 3+ to 25 months
Duration to CR in days = 3 months x 30.4 days/months = 91.2 days
Duration to CR in days = 25 months x 30.4 days/months = 760 days</t>
        </r>
      </text>
    </comment>
    <comment ref="AS101" authorId="8" shapeId="0" xr:uid="{8C6938CA-3846-4678-90A2-DE22DD1F7AD9}">
      <text>
        <r>
          <rPr>
            <b/>
            <sz val="9"/>
            <color indexed="81"/>
            <rFont val="Tahoma"/>
            <family val="2"/>
          </rPr>
          <t>bach-:</t>
        </r>
        <r>
          <rPr>
            <sz val="9"/>
            <color indexed="81"/>
            <rFont val="Tahoma"/>
            <family val="2"/>
          </rPr>
          <t xml:space="preserve">
Duration to CR = 8 months
Duration to CR in days = 8 months x 30.4 days/months = 243.2 days</t>
        </r>
      </text>
    </comment>
    <comment ref="BA101" authorId="8" shapeId="0" xr:uid="{96A894E5-1F16-4CA2-B312-EBFDCFD6B861}">
      <text>
        <r>
          <rPr>
            <b/>
            <sz val="9"/>
            <color indexed="81"/>
            <rFont val="Tahoma"/>
            <family val="2"/>
          </rPr>
          <t>bach-:</t>
        </r>
        <r>
          <rPr>
            <sz val="9"/>
            <color indexed="81"/>
            <rFont val="Tahoma"/>
            <family val="2"/>
          </rPr>
          <t xml:space="preserve">
Grade 1-2: 5 (25%)</t>
        </r>
      </text>
    </comment>
    <comment ref="BC101" authorId="8" shapeId="0" xr:uid="{B4C7D59D-468B-4682-92FA-3482FC3AF28F}">
      <text>
        <r>
          <rPr>
            <b/>
            <sz val="9"/>
            <color indexed="81"/>
            <rFont val="Tahoma"/>
            <family val="2"/>
          </rPr>
          <t>bach-:</t>
        </r>
        <r>
          <rPr>
            <sz val="9"/>
            <color indexed="81"/>
            <rFont val="Tahoma"/>
            <family val="2"/>
          </rPr>
          <t xml:space="preserve">
Grade 1-2: 8 (40%)</t>
        </r>
      </text>
    </comment>
    <comment ref="BK101" authorId="8" shapeId="0" xr:uid="{368869F6-C9F4-419A-A0C3-3A23F1D6420F}">
      <text>
        <r>
          <rPr>
            <b/>
            <sz val="9"/>
            <color indexed="81"/>
            <rFont val="Tahoma"/>
            <family val="2"/>
          </rPr>
          <t>bach-:</t>
        </r>
        <r>
          <rPr>
            <sz val="9"/>
            <color indexed="81"/>
            <rFont val="Tahoma"/>
            <family val="2"/>
          </rPr>
          <t xml:space="preserve">
Grade 1-2 Pedal edema: 1 (5%)</t>
        </r>
      </text>
    </comment>
    <comment ref="Q102" authorId="9" shapeId="0" xr:uid="{AE0E1F38-AD5E-4F3D-A75A-78D537072AE1}">
      <text>
        <r>
          <rPr>
            <b/>
            <sz val="9"/>
            <color indexed="81"/>
            <rFont val="Tahoma"/>
            <family val="2"/>
          </rPr>
          <t>khoin:</t>
        </r>
        <r>
          <rPr>
            <sz val="9"/>
            <color indexed="81"/>
            <rFont val="Tahoma"/>
            <family val="2"/>
          </rPr>
          <t xml:space="preserve">
assumed from inclusion criteria</t>
        </r>
      </text>
    </comment>
    <comment ref="V102" authorId="9" shapeId="0" xr:uid="{0A206364-14D8-4BD2-8C5B-0BF4C426DC34}">
      <text>
        <r>
          <rPr>
            <b/>
            <sz val="9"/>
            <color indexed="81"/>
            <rFont val="Tahoma"/>
            <family val="2"/>
          </rPr>
          <t>khoin:</t>
        </r>
        <r>
          <rPr>
            <sz val="9"/>
            <color indexed="81"/>
            <rFont val="Tahoma"/>
            <family val="2"/>
          </rPr>
          <t xml:space="preserve">
PS 0 + 1
2 (9%) + 17 (74%)</t>
        </r>
      </text>
    </comment>
    <comment ref="AB102" authorId="9" shapeId="0" xr:uid="{F55F1DFF-645D-442D-BBE0-16E6D089F659}">
      <text>
        <r>
          <rPr>
            <b/>
            <sz val="9"/>
            <color indexed="81"/>
            <rFont val="Tahoma"/>
            <family val="2"/>
          </rPr>
          <t>khoin:</t>
        </r>
        <r>
          <rPr>
            <sz val="9"/>
            <color indexed="81"/>
            <rFont val="Tahoma"/>
            <family val="2"/>
          </rPr>
          <t xml:space="preserve">
median: 4.0 months
4.0*30.4</t>
        </r>
      </text>
    </comment>
    <comment ref="AQ102" authorId="9" shapeId="0" xr:uid="{6BC73EF8-6555-4E49-BE4B-2D90EA1BE30C}">
      <text>
        <r>
          <rPr>
            <b/>
            <sz val="9"/>
            <color indexed="81"/>
            <rFont val="Tahoma"/>
            <family val="2"/>
          </rPr>
          <t>khoin:</t>
        </r>
        <r>
          <rPr>
            <sz val="9"/>
            <color indexed="81"/>
            <rFont val="Tahoma"/>
            <family val="2"/>
          </rPr>
          <t xml:space="preserve">
1.0 month
1.0*30.4</t>
        </r>
      </text>
    </comment>
    <comment ref="AY102" authorId="9" shapeId="0" xr:uid="{4FF3E815-417D-479B-952F-7B9A9F3506AE}">
      <text>
        <r>
          <rPr>
            <b/>
            <sz val="9"/>
            <color indexed="81"/>
            <rFont val="Tahoma"/>
            <family val="2"/>
          </rPr>
          <t>khoin:</t>
        </r>
        <r>
          <rPr>
            <sz val="9"/>
            <color indexed="81"/>
            <rFont val="Tahoma"/>
            <family val="2"/>
          </rPr>
          <t xml:space="preserve">
Grade 3 + 4 
1 (4%) + 1 (4%)</t>
        </r>
      </text>
    </comment>
    <comment ref="Q103" authorId="9" shapeId="0" xr:uid="{42D8B517-B352-4D8F-B0EE-34FC8DC82B81}">
      <text>
        <r>
          <rPr>
            <b/>
            <sz val="9"/>
            <color indexed="81"/>
            <rFont val="Tahoma"/>
            <family val="2"/>
          </rPr>
          <t>khoin:</t>
        </r>
        <r>
          <rPr>
            <sz val="9"/>
            <color indexed="81"/>
            <rFont val="Tahoma"/>
            <family val="2"/>
          </rPr>
          <t xml:space="preserve">
assumed from inclusion criteria</t>
        </r>
      </text>
    </comment>
    <comment ref="V103" authorId="9" shapeId="0" xr:uid="{F1EF8DA5-A69C-4F0D-BB6B-D15E4A7B52B4}">
      <text>
        <r>
          <rPr>
            <b/>
            <sz val="9"/>
            <color indexed="81"/>
            <rFont val="Tahoma"/>
            <family val="2"/>
          </rPr>
          <t>khoin:</t>
        </r>
        <r>
          <rPr>
            <sz val="9"/>
            <color indexed="81"/>
            <rFont val="Tahoma"/>
            <family val="2"/>
          </rPr>
          <t xml:space="preserve">
PS 0 + 1
4 (18%) + 14 (64%)</t>
        </r>
      </text>
    </comment>
    <comment ref="AB103" authorId="9" shapeId="0" xr:uid="{43D7A9B4-FD43-4CC9-B165-1D47600F05E9}">
      <text>
        <r>
          <rPr>
            <b/>
            <sz val="9"/>
            <color indexed="81"/>
            <rFont val="Tahoma"/>
            <family val="2"/>
          </rPr>
          <t>khoin:</t>
        </r>
        <r>
          <rPr>
            <sz val="9"/>
            <color indexed="81"/>
            <rFont val="Tahoma"/>
            <family val="2"/>
          </rPr>
          <t xml:space="preserve">
median: 4.0 months
4.0*30.4</t>
        </r>
      </text>
    </comment>
    <comment ref="AQ103" authorId="9" shapeId="0" xr:uid="{DF80D542-08D6-4861-9E6A-FB99F48C0155}">
      <text>
        <r>
          <rPr>
            <b/>
            <sz val="9"/>
            <color indexed="81"/>
            <rFont val="Tahoma"/>
            <family val="2"/>
          </rPr>
          <t>khoin:</t>
        </r>
        <r>
          <rPr>
            <sz val="9"/>
            <color indexed="81"/>
            <rFont val="Tahoma"/>
            <family val="2"/>
          </rPr>
          <t xml:space="preserve">
1.2 months
1.2*30.4</t>
        </r>
      </text>
    </comment>
    <comment ref="BD103" authorId="9" shapeId="0" xr:uid="{130E8A1B-B723-4039-BD76-4C7BD57FBF68}">
      <text>
        <r>
          <rPr>
            <b/>
            <sz val="9"/>
            <color indexed="81"/>
            <rFont val="Tahoma"/>
            <family val="2"/>
          </rPr>
          <t>khoin:</t>
        </r>
        <r>
          <rPr>
            <sz val="9"/>
            <color indexed="81"/>
            <rFont val="Tahoma"/>
            <family val="2"/>
          </rPr>
          <t xml:space="preserve">
Grade 3 + 4
2 (9%) + 9 (41%)
</t>
        </r>
      </text>
    </comment>
    <comment ref="BM103" authorId="9" shapeId="0" xr:uid="{3B006630-8336-4843-A0E7-E4DC40F4FD44}">
      <text>
        <r>
          <rPr>
            <b/>
            <sz val="9"/>
            <color indexed="81"/>
            <rFont val="Tahoma"/>
            <family val="2"/>
          </rPr>
          <t>khoin:</t>
        </r>
        <r>
          <rPr>
            <sz val="9"/>
            <color indexed="81"/>
            <rFont val="Tahoma"/>
            <family val="2"/>
          </rPr>
          <t xml:space="preserve">
mucosal infection</t>
        </r>
      </text>
    </comment>
    <comment ref="Q104" authorId="9" shapeId="0" xr:uid="{5038AAD6-C6B3-46BC-BF81-C3F4660985BA}">
      <text>
        <r>
          <rPr>
            <b/>
            <sz val="9"/>
            <color indexed="81"/>
            <rFont val="Tahoma"/>
            <family val="2"/>
          </rPr>
          <t>khoin:</t>
        </r>
        <r>
          <rPr>
            <sz val="9"/>
            <color indexed="81"/>
            <rFont val="Tahoma"/>
            <family val="2"/>
          </rPr>
          <t xml:space="preserve">
assumed from inclusion criteria</t>
        </r>
      </text>
    </comment>
    <comment ref="V104" authorId="9" shapeId="0" xr:uid="{81426F91-7D39-438A-B322-8C07A9780373}">
      <text>
        <r>
          <rPr>
            <b/>
            <sz val="9"/>
            <color indexed="81"/>
            <rFont val="Tahoma"/>
            <family val="2"/>
          </rPr>
          <t>khoin:</t>
        </r>
        <r>
          <rPr>
            <sz val="9"/>
            <color indexed="81"/>
            <rFont val="Tahoma"/>
            <family val="2"/>
          </rPr>
          <t xml:space="preserve">
PS 0 + 1
5 (42%) + 5 (42%)</t>
        </r>
      </text>
    </comment>
    <comment ref="AB104" authorId="9" shapeId="0" xr:uid="{951CDF75-3004-47DF-8128-03447D1606AD}">
      <text>
        <r>
          <rPr>
            <b/>
            <sz val="9"/>
            <color indexed="81"/>
            <rFont val="Tahoma"/>
            <family val="2"/>
          </rPr>
          <t>khoin:</t>
        </r>
        <r>
          <rPr>
            <sz val="9"/>
            <color indexed="81"/>
            <rFont val="Tahoma"/>
            <family val="2"/>
          </rPr>
          <t xml:space="preserve">
median: 2.3 months
2.3*30.4</t>
        </r>
      </text>
    </comment>
    <comment ref="AQ104" authorId="9" shapeId="0" xr:uid="{638DB7EC-68D0-4877-BE69-B92B84B42E5B}">
      <text>
        <r>
          <rPr>
            <b/>
            <sz val="9"/>
            <color indexed="81"/>
            <rFont val="Tahoma"/>
            <family val="2"/>
          </rPr>
          <t>khoin:</t>
        </r>
        <r>
          <rPr>
            <sz val="9"/>
            <color indexed="81"/>
            <rFont val="Tahoma"/>
            <family val="2"/>
          </rPr>
          <t xml:space="preserve">
0.9 months
0.9*30.4
</t>
        </r>
      </text>
    </comment>
    <comment ref="B105" authorId="8" shapeId="0" xr:uid="{2F3E2CE8-EDFB-467C-830C-2D963DE36499}">
      <text>
        <r>
          <rPr>
            <b/>
            <sz val="9"/>
            <color indexed="81"/>
            <rFont val="Tahoma"/>
            <family val="2"/>
          </rPr>
          <t>bach-:</t>
        </r>
        <r>
          <rPr>
            <sz val="9"/>
            <color indexed="81"/>
            <rFont val="Tahoma"/>
            <family val="2"/>
          </rPr>
          <t xml:space="preserve">
Extracted from: https://ascopubs.org/doi/abs/10.1200/JCO.2016.34.15_suppl.7007</t>
        </r>
      </text>
    </comment>
    <comment ref="E105" authorId="8" shapeId="0" xr:uid="{61F45F6B-432D-4CE6-A6D1-D293541851DB}">
      <text>
        <r>
          <rPr>
            <b/>
            <sz val="9"/>
            <color indexed="81"/>
            <rFont val="Tahoma"/>
            <family val="2"/>
          </rPr>
          <t>bach-:</t>
        </r>
        <r>
          <rPr>
            <sz val="9"/>
            <color indexed="81"/>
            <rFont val="Tahoma"/>
            <family val="2"/>
          </rPr>
          <t xml:space="preserve">
Single-arm, assumed from method</t>
        </r>
      </text>
    </comment>
    <comment ref="F105" authorId="8" shapeId="0" xr:uid="{B68830E7-F176-4F23-9832-17BB5709E523}">
      <text>
        <r>
          <rPr>
            <b/>
            <sz val="9"/>
            <color indexed="81"/>
            <rFont val="Tahoma"/>
            <family val="2"/>
          </rPr>
          <t>bach-:</t>
        </r>
        <r>
          <rPr>
            <sz val="9"/>
            <color indexed="81"/>
            <rFont val="Tahoma"/>
            <family val="2"/>
          </rPr>
          <t xml:space="preserve">
Pts receive oral VEN once daily (QD) on days 1‒28 and subcutaneous LDAC 20 mg/m2 QD on days 1‒10 of each 28-day cycle.</t>
        </r>
      </text>
    </comment>
    <comment ref="AB105" authorId="8" shapeId="0" xr:uid="{5C41DF7A-F44C-49EA-B77E-41F3DE9B794B}">
      <text>
        <r>
          <rPr>
            <b/>
            <sz val="9"/>
            <color indexed="81"/>
            <rFont val="Tahoma"/>
            <family val="2"/>
          </rPr>
          <t>bach-:</t>
        </r>
        <r>
          <rPr>
            <sz val="9"/>
            <color indexed="81"/>
            <rFont val="Tahoma"/>
            <family val="2"/>
          </rPr>
          <t xml:space="preserve">
Range: 30-272</t>
        </r>
      </text>
    </comment>
    <comment ref="AJ105" authorId="8" shapeId="0" xr:uid="{43D68D2A-759F-4A3F-8EA0-E9D2BBBBACFE}">
      <text>
        <r>
          <rPr>
            <b/>
            <sz val="9"/>
            <color indexed="81"/>
            <rFont val="Tahoma"/>
            <family val="2"/>
          </rPr>
          <t>bach-:</t>
        </r>
        <r>
          <rPr>
            <sz val="9"/>
            <color indexed="81"/>
            <rFont val="Tahoma"/>
            <family val="2"/>
          </rPr>
          <t xml:space="preserve">
Data extracted only from Phase 1</t>
        </r>
      </text>
    </comment>
    <comment ref="AK105" authorId="8" shapeId="0" xr:uid="{F9643478-9357-40E7-881C-4A710E263537}">
      <text>
        <r>
          <rPr>
            <b/>
            <sz val="9"/>
            <color indexed="81"/>
            <rFont val="Tahoma"/>
            <family val="2"/>
          </rPr>
          <t>bach-:</t>
        </r>
        <r>
          <rPr>
            <sz val="9"/>
            <color indexed="81"/>
            <rFont val="Tahoma"/>
            <family val="2"/>
          </rPr>
          <t xml:space="preserve">
complete remission: 4/18 = 22.2%;
complete remission without complete marrow recovery: 4/18 = 22.2%</t>
        </r>
      </text>
    </comment>
    <comment ref="AN105" authorId="8" shapeId="0" xr:uid="{6F3E4CA8-1996-4BC4-B1F1-6A219166C04B}">
      <text>
        <r>
          <rPr>
            <b/>
            <sz val="9"/>
            <color indexed="81"/>
            <rFont val="Tahoma"/>
            <family val="2"/>
          </rPr>
          <t>bach-:</t>
        </r>
        <r>
          <rPr>
            <sz val="9"/>
            <color indexed="81"/>
            <rFont val="Tahoma"/>
            <family val="2"/>
          </rPr>
          <t xml:space="preserve">
complete remission: 4/18 = 22.2%;
complete remission without complete marrow recovery: 4/18 = 22.2%</t>
        </r>
      </text>
    </comment>
    <comment ref="AW105" authorId="8" shapeId="0" xr:uid="{076DB84A-AB72-4E67-B19E-2484C8AB4B11}">
      <text>
        <r>
          <rPr>
            <b/>
            <sz val="9"/>
            <color indexed="81"/>
            <rFont val="Tahoma"/>
            <family val="2"/>
          </rPr>
          <t>bach-:</t>
        </r>
        <r>
          <rPr>
            <sz val="9"/>
            <color indexed="81"/>
            <rFont val="Tahoma"/>
            <family val="2"/>
          </rPr>
          <t xml:space="preserve">
Data extracted from Phase 1</t>
        </r>
      </text>
    </comment>
    <comment ref="AX105" authorId="8" shapeId="0" xr:uid="{DE751DB9-31C0-408D-88FB-E69D3F5F352B}">
      <text>
        <r>
          <rPr>
            <b/>
            <sz val="9"/>
            <color indexed="81"/>
            <rFont val="Tahoma"/>
            <family val="2"/>
          </rPr>
          <t>bach-:</t>
        </r>
        <r>
          <rPr>
            <sz val="9"/>
            <color indexed="81"/>
            <rFont val="Tahoma"/>
            <family val="2"/>
          </rPr>
          <t xml:space="preserve">
Anemia (n): 18 x 0.556 = 10
Not specify as Grade 3-4</t>
        </r>
      </text>
    </comment>
    <comment ref="AY105" authorId="8" shapeId="0" xr:uid="{85470BEB-AEE0-4156-B9AA-DC9C70FDCE46}">
      <text>
        <r>
          <rPr>
            <b/>
            <sz val="9"/>
            <color indexed="81"/>
            <rFont val="Tahoma"/>
            <family val="2"/>
          </rPr>
          <t>bach-:</t>
        </r>
        <r>
          <rPr>
            <sz val="9"/>
            <color indexed="81"/>
            <rFont val="Tahoma"/>
            <family val="2"/>
          </rPr>
          <t xml:space="preserve">
Febrile Neutropenia (n): 18 x 0.333 = 6 
Specify as serious AEs</t>
        </r>
      </text>
    </comment>
    <comment ref="BA105" authorId="8" shapeId="0" xr:uid="{1C42A427-D9BD-41AB-900E-CBD06701610E}">
      <text>
        <r>
          <rPr>
            <b/>
            <sz val="9"/>
            <color indexed="81"/>
            <rFont val="Tahoma"/>
            <family val="2"/>
          </rPr>
          <t>bach-:</t>
        </r>
        <r>
          <rPr>
            <sz val="9"/>
            <color indexed="81"/>
            <rFont val="Tahoma"/>
            <family val="2"/>
          </rPr>
          <t xml:space="preserve">
Nausea (n): 18 x 0.778 = 14 
Not specify as Grade 3-4</t>
        </r>
      </text>
    </comment>
    <comment ref="BC105" authorId="8" shapeId="0" xr:uid="{83D6DAFF-4701-4A95-8858-3802541CC986}">
      <text>
        <r>
          <rPr>
            <b/>
            <sz val="9"/>
            <color indexed="81"/>
            <rFont val="Tahoma"/>
            <family val="2"/>
          </rPr>
          <t>bach-:</t>
        </r>
        <r>
          <rPr>
            <sz val="9"/>
            <color indexed="81"/>
            <rFont val="Tahoma"/>
            <family val="2"/>
          </rPr>
          <t xml:space="preserve">
Fatigue (n): 18 x 0.389 = 7
Not specify as Grade 3-4</t>
        </r>
      </text>
    </comment>
    <comment ref="BD105" authorId="8" shapeId="0" xr:uid="{8044017E-4F0E-449F-A031-B3C671521AFE}">
      <text>
        <r>
          <rPr>
            <b/>
            <sz val="9"/>
            <color indexed="81"/>
            <rFont val="Tahoma"/>
            <family val="2"/>
          </rPr>
          <t>bach-:</t>
        </r>
        <r>
          <rPr>
            <sz val="9"/>
            <color indexed="81"/>
            <rFont val="Tahoma"/>
            <family val="2"/>
          </rPr>
          <t xml:space="preserve">
Thrombocytopenia (%): 2/18 = 11.1%</t>
        </r>
      </text>
    </comment>
    <comment ref="BE105" authorId="8" shapeId="0" xr:uid="{B306CB96-39E9-4DD6-A7DF-4E8EC2C86D3B}">
      <text>
        <r>
          <rPr>
            <b/>
            <sz val="9"/>
            <color indexed="81"/>
            <rFont val="Tahoma"/>
            <family val="2"/>
          </rPr>
          <t>bach-:</t>
        </r>
        <r>
          <rPr>
            <sz val="9"/>
            <color indexed="81"/>
            <rFont val="Tahoma"/>
            <family val="2"/>
          </rPr>
          <t xml:space="preserve">
Diarrhea (n): 18 x 0.333 = 6
Not specify as Grade 3-4</t>
        </r>
      </text>
    </comment>
  </commentList>
</comments>
</file>

<file path=xl/sharedStrings.xml><?xml version="1.0" encoding="utf-8"?>
<sst xmlns="http://schemas.openxmlformats.org/spreadsheetml/2006/main" count="21995" uniqueCount="3326">
  <si>
    <t>QUALITY OF LIFE EXTRACTION: NIC AML</t>
  </si>
  <si>
    <t>Reference and Study Information</t>
  </si>
  <si>
    <t>Reference</t>
  </si>
  <si>
    <t>Title</t>
  </si>
  <si>
    <t>Interventions</t>
  </si>
  <si>
    <t>Study Design</t>
  </si>
  <si>
    <t>Study Population</t>
  </si>
  <si>
    <t>Scales Used</t>
  </si>
  <si>
    <t>Minden_Haema_2015 (Abstract); Dombret_Blood_2015</t>
  </si>
  <si>
    <t>The effect of azacitidine on health-related quality of life (HRQL) in older patients with newly diagnosed acute myeloid leukemia (AML): Results from the AZA-AML-001 trial.</t>
  </si>
  <si>
    <t>Azacitidine (AZA) vs. CCR (standard induction chemotherapy, low dose cytarabaine, or supportive care only)</t>
  </si>
  <si>
    <t>RCT, N=488</t>
  </si>
  <si>
    <t>Age ≥65, newly diagnosed AML, not eligible for HSCT</t>
  </si>
  <si>
    <t>EORTC QLQ-C30</t>
  </si>
  <si>
    <t>Oliva_Blood_2015 (Abstract)</t>
  </si>
  <si>
    <t>Quality of life in elderly patients with acute myeloid leukemia undergoing induction chemotherapy.</t>
  </si>
  <si>
    <t>Azacitidine (AZA) vs. Best supportive care (BSC)  after conventional induction ("3+7") and consolidation chemotherapy</t>
  </si>
  <si>
    <t>RCT, N=99</t>
  </si>
  <si>
    <t>Age &gt; 60, newly diagnosed or secondary AML (&gt; 30% myeloid marrow blasts), ECOG PS &lt;3</t>
  </si>
  <si>
    <t xml:space="preserve">EORTC QLQ-C30, QOL-E (ver. 3) </t>
  </si>
  <si>
    <t>Year / Country</t>
  </si>
  <si>
    <t>Population</t>
  </si>
  <si>
    <t>QALYs/LYs (intervention, comparator)</t>
  </si>
  <si>
    <t>Costs (intervention, comparator)</t>
  </si>
  <si>
    <t>ICER (per QALY (per LYs, if QALY not available))</t>
  </si>
  <si>
    <t xml:space="preserve">Health State Utilities Used </t>
  </si>
  <si>
    <t>Lubbert_JCO_2011</t>
  </si>
  <si>
    <t>Low-Dose Decitabine Versus Best Supportive Care in
Elderly Patients With Intermediate- or High-Risk
Myelodysplastic Syndrome (MDS) Ineligible for Intensive Chemotherapy: Final Results of the Randomized Phase III Study of the European Organisation for Research and Treatment of Cancer Leukemia Group and the German MDS Study Group</t>
  </si>
  <si>
    <t>Types of Costs Used and Sources of Cost Data</t>
  </si>
  <si>
    <t>Decitabine (DEC) + Best Supportive Care (BSC) vs. BSC</t>
  </si>
  <si>
    <t>RCT, N=233</t>
  </si>
  <si>
    <t>Age ≥ 60, MDS or CMML, int-1, int-2, or high-risk, ineligible for intensive treatment, ECOG ≤2</t>
  </si>
  <si>
    <t xml:space="preserve"> </t>
  </si>
  <si>
    <t>Sekeres_Haema_2013</t>
  </si>
  <si>
    <t>Randomized phase IIb study of low-dose cytarabine and lintuzumab versus low-dose cytarabine and placebo in older adults with untreated acute myeloid leukemia.</t>
  </si>
  <si>
    <t>Low-dose Cytarabine + Lintuzumab vs. Low-dose Cytarabine</t>
  </si>
  <si>
    <t>RCT, N=211</t>
  </si>
  <si>
    <t>Age ≥60, de novo AML, exposed to chemotherapy for different malignancy, ECOG PS ≤2</t>
  </si>
  <si>
    <t>FACT-Leu</t>
  </si>
  <si>
    <t>Pierson_Blood_2017 (abstract)</t>
  </si>
  <si>
    <t>Patient-reported disease burden in the elderly patients with acute myeloid leukemia</t>
  </si>
  <si>
    <t>Decitabine (DEC) vs.  Best Supportive Care (BSC) or Low-dose Cytarabine (LDAC)</t>
  </si>
  <si>
    <t>RCT, N=485</t>
  </si>
  <si>
    <t>Older patients with newly diagnosed AML unfit for intensive chemotherapy</t>
  </si>
  <si>
    <t>EORTC-QLQ-C30</t>
  </si>
  <si>
    <t>He_Blood_2018 (abstract)</t>
  </si>
  <si>
    <t>Patient-Reported Outcomes Validation of the FACT-Leu in Acute Myeloid Leukemia: A Review of Baseline Characteristics in AML2002</t>
  </si>
  <si>
    <t>Decitabine vs. Talacotuzumab</t>
  </si>
  <si>
    <t>RCT, N=309</t>
  </si>
  <si>
    <t>De novo or secondary AML, treatment naive or relapsed, age &gt;= 75 years, ineligible for intensive chemotherapy</t>
  </si>
  <si>
    <t>Hills_Blood_2018 (abstract)</t>
  </si>
  <si>
    <t>The Achievement of Complete Remission Is Associated with Improved Quality of Life in Non-Intensively Treated Patients with Acute Myeloid Leukemia: Results of the UK NCRI LI-1 Tria</t>
  </si>
  <si>
    <t>NR</t>
  </si>
  <si>
    <t>RCT, N=833</t>
  </si>
  <si>
    <t>NA</t>
  </si>
  <si>
    <t>EORTC QLQ- 30C, EQ-5D3L</t>
  </si>
  <si>
    <t>Prica_LR_2013 (Abstract)</t>
  </si>
  <si>
    <t>The effects of azacitidine on quality of life: A prospective longitudinal assessment.</t>
  </si>
  <si>
    <t>Azacitidine (AZA)</t>
  </si>
  <si>
    <t>Prospective Observational, N=56</t>
  </si>
  <si>
    <t>MDS, treated with AZA</t>
  </si>
  <si>
    <t>EORTC QLQ-C30, FACT-Fatigue, EQ-5D and a global fatigue scale</t>
  </si>
  <si>
    <t>Candelaria-Hernandez_VH_2017 (abstract)</t>
  </si>
  <si>
    <t>Cost-effectiveness of azacitidine compared with low-doses of chemotherapy (LDC) in myelodysplastic syndrome (MDS).</t>
  </si>
  <si>
    <t>2017, Mexico</t>
  </si>
  <si>
    <t>Azacitidine (AZA) vs Low-doses chemotherapy (LDC) + best supportive care (BSC)</t>
  </si>
  <si>
    <t>AML, intermediate-2, high-risk MDS, not eligible for haematopoietic stem cell transplantation</t>
  </si>
  <si>
    <t>Cost-effectiveness survival analysis model; 3 health states (MDS, AML, and death);  payer perspective; 3 years time horizon; discount rate of 5%</t>
  </si>
  <si>
    <t>Incremental LYS (AZA vs. LDC+BSC): 1.38 (72.26 weeks)</t>
  </si>
  <si>
    <t>Ingber_Blood_2010 (Abstract)</t>
  </si>
  <si>
    <t>The effects of azacitidine on quality of life measured longitudinally in MDS patients treated at a tertiary care center.</t>
  </si>
  <si>
    <t>Incremental cost (AZA vs. LDC+BSC): MXN $68,045</t>
  </si>
  <si>
    <t>Prospective Observational, N=20</t>
  </si>
  <si>
    <t>EORTC QLQ-C30, EQ-5D, global fatigue scale</t>
  </si>
  <si>
    <t>ICER (AZA vs. LDC+BSC): MXN $48,932/LYS</t>
  </si>
  <si>
    <t>Unitary cost from public price list</t>
  </si>
  <si>
    <t>Oliva_Haema_2011</t>
  </si>
  <si>
    <t>Quality of life in elderly patients with acute myeloid leukemia: Patients may be more accurate than physicians.</t>
  </si>
  <si>
    <t>Villeneuve_VIH_2018 (abstract)</t>
  </si>
  <si>
    <t>Intensive therapy vs. Palliative treatment</t>
  </si>
  <si>
    <t>Prospective Observational, N=113</t>
  </si>
  <si>
    <t>Age ≥ 60, newly diagnosed de novo AML</t>
  </si>
  <si>
    <t>EORTC QLQ-C30 (ver. 3) and QOL-E (ver.2)</t>
  </si>
  <si>
    <t>Cost effectiveness analysis of azacitidine in patients with acute myeloid leukemia with &gt;30% blasts and who are not candidate for curative-intend chemotherapy</t>
  </si>
  <si>
    <t>Capelli_Blood_2015 (Abstract)</t>
  </si>
  <si>
    <t>Dinamic evaluation of quality of life and late effects in a cohort of acute myeloid leukemia long term survivors.</t>
  </si>
  <si>
    <t>2018, Canada</t>
  </si>
  <si>
    <t>Prospective Observational, N=44</t>
  </si>
  <si>
    <t>Cured AML patients</t>
  </si>
  <si>
    <t>EORTC QLQ-C30 and FACT-AN</t>
  </si>
  <si>
    <t>Azacitidine, best supportive care, low-dose cytarabine, induction chemotherapy</t>
  </si>
  <si>
    <t>Deschler_Haema_2013</t>
  </si>
  <si>
    <t>Parameters detected by geriatric and quality of life assessment in 195 older patients with myelodysplastic syndromes and acute myeloid leukemia are highly predictive for outcome.</t>
  </si>
  <si>
    <t>AML with &gt;30% blasts not eligible for curative-intent chemotherapy</t>
  </si>
  <si>
    <t>Best Supportive Care (BSC) vs. (Hypomethylating Agent (HA) vs.Intensive Chemotherapy + Hematopoietic Cell Transplantation (IC/HCT)</t>
  </si>
  <si>
    <t>Markov model; payer perspective; health state NR; 22 months time horizon divided in 35 day cycles; discount NR</t>
  </si>
  <si>
    <t>Patient Survey, N=195</t>
  </si>
  <si>
    <t>Age ≥ 60, MDS or AML</t>
  </si>
  <si>
    <t>EORT QLQ-C30 and Activities of Daily Living (ADL; Barthel Index)</t>
  </si>
  <si>
    <t xml:space="preserve">ICER (AZA vs. Conventional Care Chemotherapy) $142,932CAN/QALY
</t>
  </si>
  <si>
    <t>Pandya_JCO_2017 (Abstract)</t>
  </si>
  <si>
    <t>Quality of life of acute myeloid leukemia patients in a real-world setting.</t>
  </si>
  <si>
    <t>Cost utilities derived from AZA-AML-001</t>
  </si>
  <si>
    <t>Patient survey, N=75</t>
  </si>
  <si>
    <t>AML, 1L or R/R (75% (n=56) first line vs 25% (n=19) Relapsed/refractory AML)</t>
  </si>
  <si>
    <t>FACT-Leu and EQ-5D-3L</t>
  </si>
  <si>
    <t>Batty_JCRT_2014</t>
  </si>
  <si>
    <t>Cheng_JCO_2016 (Abstract)</t>
  </si>
  <si>
    <t>A single-center survey of health-related quality of life among acute myeloid leukemia survivors in first complete remission.</t>
  </si>
  <si>
    <t>Decitabine is more cost effective than cytarabine and daunorubicin in elderly acute myeloid leukemia patients.</t>
  </si>
  <si>
    <t>Patient survey, N=18</t>
  </si>
  <si>
    <t>AML, achieved the first CR</t>
  </si>
  <si>
    <t>EORTC QLQ-C30, QOL-CS, FACIT-Fatigue and HADS</t>
  </si>
  <si>
    <t>2014, US</t>
  </si>
  <si>
    <t>Decitabine (DEC) vs. Cytarabine + Daunorubicin (AD)</t>
  </si>
  <si>
    <t>Leunis_EJU_2014</t>
  </si>
  <si>
    <t>Impaired health-related quality of life in acute myeloid leukemia survivors: A single-center study.</t>
  </si>
  <si>
    <t>Patient survey, N=92</t>
  </si>
  <si>
    <t>AML survivors vs. General population</t>
  </si>
  <si>
    <t>EQ-5D and EORTC QLQ-C30</t>
  </si>
  <si>
    <t>Semi-Markov model; 6 health states (healthy, active disease, AML being actively treated, AML in remission, AML in remission treated, death); Third party payer perspective;  a lifetime horizon of one year</t>
  </si>
  <si>
    <t>QALY (DEC vs. AD): 0.61 vs. 0.47 / LYs (DEC vs. AD): 0.69 vs. 0.55</t>
  </si>
  <si>
    <t>Cost (DEC vs. AD): $108,084 vs $168,863</t>
  </si>
  <si>
    <t>Decitabine dominated AD</t>
  </si>
  <si>
    <t>AML in remission on AD: 0.91
Active AML and treated with AD: 0.524
Active AML and treated with decitabine: 0.71
AML in remission and continued on decitabine treatment: 0.81
Consolidation therapy with HiDAC: 0.81</t>
  </si>
  <si>
    <t>Williams_Blood_2013 (Abstract)</t>
  </si>
  <si>
    <t>Direct medical costs of treatment, including drug cost and administration</t>
  </si>
  <si>
    <t>Symptom burden in acute myeloid leukemia (AML) and myelodysplastic syndrome (MDS).</t>
  </si>
  <si>
    <t>Patient survey, N=30</t>
  </si>
  <si>
    <t>AML and MDS</t>
  </si>
  <si>
    <t>M. D. Anderson Symptom Inventory (MDASI)</t>
  </si>
  <si>
    <t>Pan_CT_2010</t>
  </si>
  <si>
    <t>Economic analysis of decitabine versus best supportive care in the treatment of intermediate- and high-risk myelodysplastic syndromes from a US payer perspective.</t>
  </si>
  <si>
    <t>2009, US</t>
  </si>
  <si>
    <t>Decitabine (DEC) vs. Best Supportive Care (BSC)</t>
  </si>
  <si>
    <t>Levy_CO_2014</t>
  </si>
  <si>
    <t>Cost-effectiveness in Canada of azacitidine for the treatment of higher-risk myelodysplastic syndromes</t>
  </si>
  <si>
    <t xml:space="preserve">Markov model; 3 health states (MDS, AML, and death); US payer/managed  care  perspective; 5 years time horizon; discount rate of 3% </t>
  </si>
  <si>
    <t>Azacitidine (AZA) vs. CCR (BSC alone, low-dose chemotherapy+BSC, and standard-dose chemotherapy+BSC)</t>
  </si>
  <si>
    <t>QALY (DEC vs. BSC): 0.938 vs. 0.886</t>
  </si>
  <si>
    <t>Utility, CEA</t>
  </si>
  <si>
    <t>Total cost (DEC vs. BSC): USD $122,940 vs. USD $122,666</t>
  </si>
  <si>
    <t>AML(&gt;30% blast) and MDS (High-risk)</t>
  </si>
  <si>
    <t>ICER (DEC vs. BSC): USD $5,277/QALY</t>
  </si>
  <si>
    <t>EQ-5D mapped from EORTC QLQ-C30 and SF-6D mapped from SF-12</t>
  </si>
  <si>
    <t>&lt;TTO&gt;
Transfusion-independent MDS: 0.84
Transfusion-dependent MDS: 0.60
&lt;EQ-5D mapped from the EORT Cancer QLC-C30&gt;
AML: 0.53</t>
  </si>
  <si>
    <t>Direct medical costs (Transfusion, Epoetin, Hospitalization, Physician visit, Medication, Laboratory test/bone marrow aspiration, AE-related); 
Decitabine and medication costs from WAC in the Red Book; administration costs associated with decitabine from Medicare Physician Fee Schedule;  unit cost of resource use from published sources;  hospital per diem costs from  Healthcare Cost and Utilization Project database; Unit costs of physician visits, laboratory tests, and bone marrow aspirations  from Current Procedural Terminology codes and the Medicare physician fee schedule; AML-related costs from SEER-Medicare database</t>
  </si>
  <si>
    <t>Kurosawa_BBMT_2016</t>
  </si>
  <si>
    <t>Decision Analysis of Post remission Therapy in Cytogenetically Intermediate-Risk Acute Myeloid Leukemia: The Impact of FLT3 Internal Tandem Duplication, Nucleophosmin, and CCAAT/Enhancer Binding Protein Alpha.</t>
  </si>
  <si>
    <t>Allogeneic hematopoietic cell transplantation (HCT) vs. Chemotherapy</t>
  </si>
  <si>
    <t>Utility, Decision analysis</t>
  </si>
  <si>
    <t>Adult patients with AML who achieved CR1</t>
  </si>
  <si>
    <t>Tremblay_VH_2017 (abstract)</t>
  </si>
  <si>
    <t>EQ-5D from cross sectional study</t>
  </si>
  <si>
    <t>Cost-effectiveness analysis of midostaurin (MIDO) with standard chemotherapy (SOC) for acute myeloid leukemia (AML) in the united kingdom (UK).</t>
  </si>
  <si>
    <t>2017, UK</t>
  </si>
  <si>
    <t>Midostaurin (MIDO) + Standard chemotherapy (SOC) vs. SOC</t>
  </si>
  <si>
    <t>Newly diagnosed AML, FLT3 mutation-positive, eligible to receive stem cell transplantation (SCT)</t>
  </si>
  <si>
    <t>Partition survival model; 8 health states(induction, consolidation, monotherapy, complete remission, relapse, SCT treatment, SCT recovery, and post-SCT recovery); time horizon of a lifetime</t>
  </si>
  <si>
    <t>Carp_JCO_2018 (abstract)</t>
  </si>
  <si>
    <t>Incremental QALY (MIDO+SOC vs. SOC): 1.47 / Incremental LYS (MIDO+SOC vs. SOC): 1.67</t>
  </si>
  <si>
    <t>Quality of life and psychological distress in patients with acute myeloid leukemia (AML).</t>
  </si>
  <si>
    <t>Incremental cost (MIDO+SOC vs. SOC): GBP £50,404</t>
  </si>
  <si>
    <t>Cytarabine + Anthracycline  (7+3 combination) vs. non-intensive hypomethylating agents</t>
  </si>
  <si>
    <t>ICER (MIDO+SOC vs. SOC): GBP £34,327/QALY</t>
  </si>
  <si>
    <t>Prospective Observational, N=100</t>
  </si>
  <si>
    <t>Published  health state utilities - Induction 0.648, consolidation 0.710, monotherapy 0.810, complete remission 0.830, relapse 0.530, SCT treatment 0.613, SCT recovery 0.810, post-SCT recovery 0.826</t>
  </si>
  <si>
    <t>Older patients (≥ 60 years) newly diagnosed with AML</t>
  </si>
  <si>
    <t>Cost of the drugs and administration, AE treatment, and medical costs for hospitalisations, physician visits, and end-oflife/ palliative care; 
Unit costs from Personal Social Services Research Unit (PSSRU) Unit Costs of Health and Social Care in 2015</t>
  </si>
  <si>
    <t>FACT-L, HADS</t>
  </si>
  <si>
    <t>Forsythe_Haematologica_2018 (abstract)</t>
  </si>
  <si>
    <t>Health related quality of life (HRQoL) in acute myeloid leukemia (AML) patients not eligible for intensive chemotherapy (NIC AML): results of a systematic literature review</t>
  </si>
  <si>
    <t>Non-intensive chemotherapy (NIC)</t>
  </si>
  <si>
    <t>SLR</t>
  </si>
  <si>
    <t>Non-intensive chemotherapy (NIC) AML, RAEB-t MDS (20% bone marrow blast)</t>
  </si>
  <si>
    <t>Activities of Daily Living index, EORTC QLQ-C30, EQ-5D, FACT-Fatigue, FACT-Leukemia, FACIT Fatigue, Global Fatigue Scale, Hospital Anxiety and Depression Scale, QOL Cancer Survivor, QOL-E</t>
  </si>
  <si>
    <t>Oakes_VIH_2018 (abstract)</t>
  </si>
  <si>
    <t>Tremblay_VIH_2018 (abstract)</t>
  </si>
  <si>
    <t>A comparison of patient and caregiver worries for acute myeloid leukemia</t>
  </si>
  <si>
    <t>Survey. N=892</t>
  </si>
  <si>
    <t>Patients, caregivers of living patients, caregivers of deceased patients from Leukemia/Lymphoma Society Database</t>
  </si>
  <si>
    <t>Best-Worst Scaling (BWS) instrument t survey</t>
  </si>
  <si>
    <t>Cost-effectiveness analysis of midostaurin (mido) with standard of care (soc) for acute myeloid leukemia (aml) in canada</t>
  </si>
  <si>
    <t>Midostaurin + standard of care</t>
  </si>
  <si>
    <t>Newly-diagnosed FLT3 mutation-positive AML from P3 RATIFY Trial</t>
  </si>
  <si>
    <t xml:space="preserve">Partition survival model; 8 health states: induction, consolidation, maintenance, complete remission (CR), relapse, SCT treatment, SCT recovery, and post-SCT recovery; perspective NR;  over a 15-year horizon; Discount 1.5%
</t>
  </si>
  <si>
    <t>Janssen_VIH_2018 (abstract)</t>
  </si>
  <si>
    <t>Incremental QALY (MIDO+SOC vs. SOC): 0.85 / Incremental LYS (MIDO+SOC vs. SOC): 0.72</t>
  </si>
  <si>
    <t>Preferences for AML treatments - using a discrete choice experiment to inform a community led patient-focused drug development initiative</t>
  </si>
  <si>
    <t>Incremental cost  (MIDO+SOC vs. SOC): $57,179 CAN over a 15-year horizon</t>
  </si>
  <si>
    <t xml:space="preserve">ICER (MIDO+SOC vs. SOC) $79,147 CAN/LY; $66,937CAN/QALY
</t>
  </si>
  <si>
    <t>Survey, N=322</t>
  </si>
  <si>
    <t>Health state utilities source: an AML-specific TTO</t>
  </si>
  <si>
    <t>AML patients</t>
  </si>
  <si>
    <t>Paired-comparison discrete choice experiment (DCE) across five attributes (event free survival (EFS), complete remission (CR), length of hospital stay, and severity of short-term side effects and long-term side effects</t>
  </si>
  <si>
    <t xml:space="preserve">Routine care utilisation was based on data used in the NICE STA for azacitidine TA399; Costs incorporated in the model included drugs/administration, AE treatment, and hospitalisation, physician visits, and palliative care medical costs; Unit costs were obtained from various sources including the Ontario Case-Costing Initiative (2015/2016); 
data on CR, overall survival (OS), and adverse events (AEs) were obtained from the MIDO Phase III RATIFY trial. OS was extrapolated beyond the trial horizon using a “cure model” approach and data from the Statistics Canada Vital Statistics Database (2016); </t>
  </si>
  <si>
    <t>Tremblay_CERA_2018</t>
  </si>
  <si>
    <t>Cost‑effectiveness analysis for midostaur in versus standard of care in acute myeloid leukemia in the United Kingdom</t>
  </si>
  <si>
    <t>2018, UK</t>
  </si>
  <si>
    <t>Midostaurin (MIDO) + Standard of care (SOC) vs. SOC</t>
  </si>
  <si>
    <t>Previously untreated adult AML, FLT3 mutation-positive, eligible to receive standard induction and consolidation chemotherapy, corresponding to the intention to-treat population of the RATIFY clinical trial and the intended use for MIDO therapy</t>
  </si>
  <si>
    <t>Incremental cost (MIDO+SOC vs. SOC): GBP £54,072</t>
  </si>
  <si>
    <t>ICER (MIDO+SOC vs. SOC): GBP £36,826/QALY
ICER (MIDO+SOC vs. SOC): GBP £32,465/QALY</t>
  </si>
  <si>
    <t>Cost of the drugs and administration, treatment for AE, and medical costs for hospitalisations, physician visits, and end-of life care; 
Routine care unit costs were obtained from various sources such as the Personal Social Services Research Unit (PSSRU) Unit Costs of Health and Social Care in 2015, inflation-adjusted to 2017 values</t>
  </si>
  <si>
    <t>Summary of Results</t>
  </si>
  <si>
    <t>Details of Costs Used and Sources of Cost</t>
  </si>
  <si>
    <t>BIM</t>
  </si>
  <si>
    <t>Paladini_VH_2012 (abstract)</t>
  </si>
  <si>
    <t>Economic evaluation of azacitidine for the treatment of myelodysplastic syndromes (MDS) in the brazilian public health care system (SUS).</t>
  </si>
  <si>
    <t>2012, Brazil</t>
  </si>
  <si>
    <t>Int-1/Int-2/High risk MDS</t>
  </si>
  <si>
    <t>Budget impact model; 3-year budget impact of introducing AZA in the Brazilian market; Brazilian public health care system (SUS) perspective; Assumption: AZA given to 50% of patients with MDS in Brazil; Classified with IPSS Int 1, Int 2 and High risk</t>
  </si>
  <si>
    <t>Budgetary impact (AZA vs. DEC): BRL $45,000, 000 (USD $25,000,000) for the public health care system SUS</t>
  </si>
  <si>
    <t>Cost of drug, adverse events and progressive disease from systematic review of literature and public sources</t>
  </si>
  <si>
    <t>Caloto_VH_2016 (abstract)</t>
  </si>
  <si>
    <t>Azacitidine for the treatment of adult patients (age 65 or older) with acute myeloid leukemia and &gt; 30% bone marrow blasts in Spain: Budget impact analysis.</t>
  </si>
  <si>
    <t>2016, Spain</t>
  </si>
  <si>
    <t xml:space="preserve">Adult patients≥ 65 years diagnosed with AML with &gt; 30% marrow blasts who are ineligible for hematopoietic stem cell transplantation </t>
  </si>
  <si>
    <t>National Health System (NHS) perspective, over a 3-year period
The number of patients was estimated using published epidemiologic estimates
The proportion of those patients ineligible for HSCT was obtained through local expert consultation
AML market distribution was obtained from market research studies
The base-case analysis considered that vial-sharing was performed for all treatment alternatives</t>
  </si>
  <si>
    <t>418 pts would be eligible for azacitidine treatment in the first year of use (416 and 413 in the next 2 years, respectively)
Azacitidine would gradually replace low-dose chemotherapy, and to a lesser extent decitabine and high-dose chemotherapy, resulting in 216, 233 and 250 pts treated with azacitidine in the new indication in the first 3 years, corresponding with €1.9 M in total savings for the NHS. These cost savings were especially related to costs of treatment administration and the convenient mode of subcutaneous administration.</t>
  </si>
  <si>
    <t>Healthcare costs (€2016): drug (ex-factory considering compulsory RDL 8/2010 discount), administration and adverse events
Unit costs from the NHS and eSalud databases</t>
  </si>
  <si>
    <t>Study Characteristics</t>
  </si>
  <si>
    <t>Baseline Characteristics</t>
  </si>
  <si>
    <t>Kumar_LR_2013 (abstract)</t>
  </si>
  <si>
    <t>A prospective population based study on the cost and utilization of azacitidine in Manitoba: Implications for health technology assessment.</t>
  </si>
  <si>
    <t>2012, Canada</t>
  </si>
  <si>
    <t>MDS initiated on AZA</t>
  </si>
  <si>
    <t>Prospective observational study from March 2009 to 30 April 2012 in  Manitoba (population 1.25 million), Canada</t>
  </si>
  <si>
    <t>Number of patients received AZA in Manitoba, Canada: 27 (20 for approved indications (AI) and 9 for non-approved indications (NAI))
AI vs. NAI: Number of AZA vials used: 1639 vs. 311 / Total cycles of AZA administered: 141 vs. 23 / Total Cost $ 1,029,292 vs. $195,308 / Cost/cycle $ 7,300 vs. 8,492 / cost per patient: $51,465 vs. $21,701</t>
  </si>
  <si>
    <t>The number of vials utilized, including wastage, was used to calculate the cost of the AZA. Cost/100 mg vial was $628 in CAD.</t>
  </si>
  <si>
    <t>Efficacy-Response</t>
  </si>
  <si>
    <t>Guindo_EJHP_2017 (abstract)</t>
  </si>
  <si>
    <t>Safety</t>
  </si>
  <si>
    <t>Economic analysis of azacitidine versus decitabine for the treatment of acute myeloid leukaemia.</t>
  </si>
  <si>
    <t>2017, NR</t>
  </si>
  <si>
    <t>Azacitidine (AZA) vs. Decitabine (DEC)</t>
  </si>
  <si>
    <t>Older patients with newly diagnosed AML (&gt; 30% blasts)</t>
  </si>
  <si>
    <t>Analysis of published stability studies and clinical trials (AZA-AML-001 study (AZA) and DACO-16 and 17 (DEC))</t>
  </si>
  <si>
    <t>Assuming a standard body surface of 1.75m^2 , each decitabine cycle (5 days) costs €5545 (€22 180 for a mean of 4 cycles), while the cost of each azacitidine cycle (7 days) was €2747 (€16 482 for a mean of 6 cycles).
Treatment with azacitidine resulted in savings of €5698 per treated patient</t>
  </si>
  <si>
    <t>The costs per vial were decitabine 50 mg vial, €1109; azacitidine 100 mg vial, €299.
The stability of reconstituted vials as well as the use of vial sharing strategies were considered.</t>
  </si>
  <si>
    <t>Main Message</t>
  </si>
  <si>
    <t>All</t>
  </si>
  <si>
    <t>Kulikov_VH_2012 (abstract)</t>
  </si>
  <si>
    <t>Pharmacoeconomic evaluation of acute myeloid leukemia and mds syndromes (intermediate and high risk) treatment with azacitidine in the russian federation.</t>
  </si>
  <si>
    <t>2012, Russia</t>
  </si>
  <si>
    <t>Azacitidine vs. Low-dose cytarabine</t>
  </si>
  <si>
    <t>AML and MDS (intermediate/high risk)</t>
  </si>
  <si>
    <t>Pharmacoeconomic evaluation -  cost-effectiveness ratio (cost per 1 year gained) was calculated based on median survival for azacitidine 2.04 years and for low dose cytarabine 1.28 years from AZA-001 trial</t>
  </si>
  <si>
    <t>Cost of pharmacotherapy (Azacitidine vs. Low-dose cytarabine): RUB 1,197,157₽ (€28,503) vs. RUB 22,841₽ (€544)
Total costs of treatment (Azacitidine vs. Low-dose cytarabine): RUB 2,658,703₽ (€63,302) vs. RUB 1,749,130₽ (€41,646)
A cost-effectiveness ratio (Azacitidine vs. Low-dose cytarabine): RUB 1,303,286₽/LYS (€31030/LYS) vs. RUB 1,366,508₽/LYS (€32536/LYS)</t>
  </si>
  <si>
    <t xml:space="preserve">Cost of diagnostics, treatment of the disease, side effects and blood transfusions were evaluaed. Medical care costs were estimated from the national standard of myeloid leukemia treatment by Russian Ministry of public health. </t>
  </si>
  <si>
    <t>Seymour_LL_2017</t>
  </si>
  <si>
    <t>Incidence rates of treatment-emergent adverse events and related hospitalization are reduced with azacitidine compared with conventional care regimens in older patients with acute myeloid leukemia.</t>
  </si>
  <si>
    <t>2017, International</t>
  </si>
  <si>
    <t>Azacitidine (AZA) vs. Conventional care regimens (CCR: IC [intensive cytarabine +daunorubicin or +idarubicin], LDAC [low-dose cytarabine], BSC [Best supportive care])</t>
  </si>
  <si>
    <t>Post-hoc analysis of P3 RCT; AZA–AML Trial (NCT01074047); n=471</t>
  </si>
  <si>
    <t>Hospitalization for TEAEs (IC vs. AZA): 1.91% vs. 1.71%
Hospitalization for TEAEs (LDAC vs. AZA): 2.24% vs. 2.02%
Hospitalization for TEAEs (BSC vs. AZA): 4.39% vs. 1.99%
Days hospitalized for TEAEs (IC vs. AZA): 50.4 vs. 27.8
Days hospitalized for TEAEs (LDAC vs. AZA): 35.0 vs. 28.7
Days hospitalized for TEAEs (BSC vs. AZA): 48.5 vs. 28.4
The 56-day rates of blood products utilized tended to decrease over time in all treatment arms and were generally comparable between AZA and BSC and AZA and LDAC. The rate of blood product utilization was higher in IC treated patients in the first 56 days of treatment and
then became comparable with the rate for AZA over the remaining treatment intervals.</t>
  </si>
  <si>
    <t>AZA–AML Trial</t>
  </si>
  <si>
    <t>Short Reference</t>
  </si>
  <si>
    <t>Study Type</t>
  </si>
  <si>
    <t>First Author</t>
  </si>
  <si>
    <t>Abstract</t>
  </si>
  <si>
    <t>Masumi_JCO_2015 (abstract)</t>
  </si>
  <si>
    <t>Hospitalization rates in elderly, newly diagnosed acute myeloid leukemia (AML) and high-risk myelodysplastic syndrome (MDS) patients treated with azacitidine.</t>
  </si>
  <si>
    <t>2015, US</t>
  </si>
  <si>
    <t>Indication</t>
  </si>
  <si>
    <t>Newly diagnosed AML and MDS (high-risk), age ≥ 65, unfit for standard chemotherapy</t>
  </si>
  <si>
    <t>Retrospective review; University Hospitals Seidman Cancer Center from 2010 to 2014; n=56</t>
  </si>
  <si>
    <t>Hospitalized at initiation of AZA: 26 (46%)
Median duration of hospital stay: 14.5 days
Patients who were hospitalized at least once after start of treatment: 82%
Median total inpatient stay: 17 days. 
Median number of admissions per patient: 2.
ICU care during the follow-up period: 5 (9%)
Median proportion of days spent inpatient out of total days of follow-up was: 8.7%</t>
  </si>
  <si>
    <t>Line of Therapy</t>
  </si>
  <si>
    <t>Medical record</t>
  </si>
  <si>
    <t>Number of Arms</t>
  </si>
  <si>
    <t>Intervention (per arm)</t>
  </si>
  <si>
    <t>Study N (per arm)</t>
  </si>
  <si>
    <t>Study N (overall)</t>
  </si>
  <si>
    <t>Kwon_Blood_2017 (abstract)</t>
  </si>
  <si>
    <t>Treatment patterns and health care resources use (HCRU) in patients with acute myeloid leukemia (AML): Real World Evidence (RWE) from 30 US institutions.</t>
  </si>
  <si>
    <t>2017, US</t>
  </si>
  <si>
    <t>Azacitidine, cytarabine, daunorubicin, decitabine, idarubicin, mitoxantrone, SCT</t>
  </si>
  <si>
    <t>Patients with newly diagnosed AML, newly diagnosed post-remission AML, and R/R AML</t>
  </si>
  <si>
    <t>Retrospective observational study via TriNetx syndicated EMR network containing records for inpatient/outpatient services and procedures, diagnoses, adverse events, prescription drugs, and labs for over 30 million patients from 27 US hospital institutions</t>
  </si>
  <si>
    <t>HCRU varied significantly between patient cohorts. AML patients in remission demonstrated significantly lower rates of hospitalizations, diagnostic radiology tests, and red cell and platelet transfusions, while the rates of office visits were significantly higher and there was no significant difference in the rates of ER visits as compared to newly-diagnosed patients. 
The rates of all HCRU were significantly higher among patients in relapse as compared to newly-diagnosed patients
Among treated newly-diagnosed AML patients, 47% received IC, and 23% received HMA. The most common IC combinations were cytarabine+daunorubicin (48%), cytarabine+fludarabine (36%), cytarabine+idarubicin (34%), and cytarabine+mitoxantrone (26%). Among patients treated with HMA, 65% were on azacytidine and 42% were on decitabine. Treatment patterns for patients in relapse were similar to those for newly-diagnosed patients, with slightly higher rates of IC (56%) and HMAs (28%). 
Among patients in remission who were previously treated with IC, 45% received SCT in addition to IC.</t>
  </si>
  <si>
    <t>HCUPnet</t>
  </si>
  <si>
    <t>Lee_Blood_2017 (abstract)</t>
  </si>
  <si>
    <t>Factors affecting transfusion utilization in acute myeloid leukemia (AML) patients undergoing initial therapy.</t>
  </si>
  <si>
    <t>Azacitidine, cytarabine, daunorubicin, decitabine, low-dose cytarabine</t>
  </si>
  <si>
    <t>Newly diagnosed AML patients achieving complete remission</t>
  </si>
  <si>
    <t>Examination of patients enrolled into Weill Cornell Medicine Leukemia program who had a diagnosis of AML and achieved complete remission (CR) from 2013 to 2017</t>
  </si>
  <si>
    <t>Non-intensive therapy consisted of mainly hypomethylating agents or low dose cytarabine. Median duration to achieve CR was 43 days (14-224), and median inpatient stay was 32 days (0-91). For patients who received non-intensive regimen, median time to CR and hospitalization length of stay were 381 days (28-224), and 32 days (0-91) respectively. Median RBC utilized from diagnosis to CR was 7 units (0-81), and median PLT was 10 units (0-42). There was no difference in RBC or PLT transfusion utilization for patients ≥60 compared to &lt;60. (p=0.64, p=0.70 respectively). No significant difference was found for RBC and PLT transfusions between patients receiving intensive vs. non-intensive chemotherapy (p=0.37, p=0.43 respectively). Each additional day of inpatient stay predicts a 1.3% increase in RBC transfusions. For an estimated mean activity-based cost of RBC transfusions at $761/unit, a 10 day increase in inpatient stay with a 13.9% increase in RBC transfusions would result in an increased cost of $1058/patient (calculated based on a median of 10 RBC units). For PLT transfusions, independent predictors were sepsis or bacteremia (p=0.01, estimate: 1.40,95% Cl, (1.079-1.83)), ICU stay (p&lt;0.01, estimate-1.80, 95% Cl, (1.18-2.75)), and lower ELN risk (p&lt;0.05, estimate: 0.73, 95% Cl (0.54-0.99)). PLT transfusions have an acquisition cost of approximately $700 per pathogen-inactivated unit. The average predicted PLT.costs for patients with sepsis or bacteremia, ICU admission, or with adverse ELN risk, are $1955/patient, $3930/patient and $1313/patient respectively higher, compared to those without each event or risk factor (calculated based on a median of 7 PLT units).</t>
  </si>
  <si>
    <t>ECOG PS 0-1 (per arm)</t>
  </si>
  <si>
    <t>ECOG PS 0-1 (overall)</t>
  </si>
  <si>
    <t>OS N (per arm)</t>
  </si>
  <si>
    <t>OS N (overall)</t>
  </si>
  <si>
    <t>OS CI Low (per arm)</t>
  </si>
  <si>
    <t>OS CI High (per arm)</t>
  </si>
  <si>
    <t>Lafeuille_Blood_2017 (abstract)</t>
  </si>
  <si>
    <t>OS HR (per arm)</t>
  </si>
  <si>
    <t>OS HR CI Low (per arm)</t>
  </si>
  <si>
    <t>OS HR CI High (per arm)</t>
  </si>
  <si>
    <t>OS HR p-value (per arm)</t>
  </si>
  <si>
    <t>Managing acute myeloid leukemia in older patients: Are we making progress? an analysis of treatment patterns and healthcare resource utilization.</t>
  </si>
  <si>
    <t>2017, Canada</t>
  </si>
  <si>
    <t>Arsenic trioxide, azacitidine, cytarabine, daunorubicin, decitabine, hydroxyurea, tretinoin</t>
  </si>
  <si>
    <t>AML patients with &gt;=2 AML diagnoses, &gt;=1 bone marrow procedure, &gt;=12 months of continuous eligibility prior to the index date</t>
  </si>
  <si>
    <t>Retrospectively chart review of MarketScan® Research Database (Truven Health) including both Commercial and Medicare Supplemental claims databases between 01/2011 to 07/2016</t>
  </si>
  <si>
    <t>Patients &lt;60 years old received the most therapeutic interventions (chemotherapy, transfusion, SCT), followed by patients 60-64 and patients &gt;=65 years old. Hypomethylating agents (HMAs) were more commonly used in older patients. In patients aged &lt;60, 60-64, and &gt;=65 years treated with &gt;=1 HMA, azacitidine was given in 56.2%, 59.8%, and 55.7% of patients and decitabine was given in 50.5%, 47.1%, and 51.2%, respectively. In patients &lt;60 years who received other antineoplastic agents, tretinoin (31.2%), cytarabine (30.6%), and arsenic trioxide (22.4%) were most commonly used. Patients 60-64 years old received cytarabine (30.7%), hydroxyurea (20.5%), and tretinoin (17.3%) as most common agents. Patients &gt;=65 years old received most commonly hydroxyurea (53.4%) and cytarabine (14.3%). After AML diagnosis, patients &gt;=65 years old had half the monthly all-cause average number of inpatient days compared to patients &lt;65 years old (3.74 vs. 7.74). Differences in the number of days with outpatient services (5.64 vs. 5.27) or emergency room visits (0.22 vs. 0.10) were smaller.</t>
  </si>
  <si>
    <t>Medeiros_Blood_2017 (abstract)</t>
  </si>
  <si>
    <t>Economic burden of treatment episodes in acute myeloid leukemia (AML) patients in the US: A retrospective analysis of a commercial payer database.</t>
  </si>
  <si>
    <t>High dose/low dose cytarabine+anthracycline, azacitidine, clofarabine, decitabine, gemtuzumab, hydroxyurea, HSCT</t>
  </si>
  <si>
    <t>Newly diagnosed or R/R AML patients</t>
  </si>
  <si>
    <t>Retrospective analysis of a commercial payer database via US healthcare claims database (PharMetrics Plus™) and linked charge detail master (CDM) hospital data, incident adult patients with ≥ 2 outpatient or ≥ 1 inpatient claim with an AML diagnosis between 1/1/2008 and 3/31/2016</t>
  </si>
  <si>
    <t>The episode cost was the lowest in low intensity chemotherapy at $53,081 with 2.0 month follow-up compared to HSCT ($329,621 + 6.4 months) or high intensity chemotherapy ($198,528 + 2.1 months). Although low intensity chemotherapy patients had a relatively low hospitalization rate (35.8%), hospitalization was a major cost component at $17,764; while physician's office visit costs were $1,478 and outpatient pharmacy costs were $2,554.</t>
  </si>
  <si>
    <t>charge detail master (CDM) hospital data</t>
  </si>
  <si>
    <t>Response N (per arm)</t>
  </si>
  <si>
    <t>Bui_Blood_2018 (abstract)</t>
  </si>
  <si>
    <t>Transfusion Requirements and Hospitalization during First Line Treatment Among Newly Diagnosed Acute Myeloid Leukemia Patients Who Were Ineligible for Intensive Chemotherapy</t>
  </si>
  <si>
    <t>2018, US</t>
  </si>
  <si>
    <t>azacitidine (AZA), decitabine (DEC), low-dose cytarabine (LDAC)</t>
  </si>
  <si>
    <t>Safety N (per arm)</t>
  </si>
  <si>
    <t>Newly diagnosed acute myeloid leukemia patients who were ineligible for intensive chemotherapy, &gt;=60 years old</t>
  </si>
  <si>
    <t>Retrospective observational study Optum Clinformatics Data Mart with AML between 1/1/2010 and 6/30/2017</t>
  </si>
  <si>
    <t>As 1L treatment, majority of patients received AZA (n=422, 53.8%) followed by DEC (n=337, 43.0%) and LDAC (n=26, 3.3%) and the mean (median; range) duration of treatment was 5.6 (3.7; 0.03-52.0) month. Prior to receiving 1L treatment, 48.0% (377/785) of patients required transfusion of either platelets and/or RBC. During 1L treatment, 73.3% (575) of patients received transfusion support with a mean (median; range) of 8.5 (5.0; 1-181) transfusions of either platelets and/or RBC. Among 785 patients during 1L treatment, the mean (median; range) number of hospitalizations was 0.91 (1.0; 0-8). A total of 53.1% (417) had  1 hospitalization; the mean (median; range) length of an inpatient stay was 10.9 (7.0; 1-97) days for these patients; and 49.4% (206), 75.1% (313), and 87.3% (364) of patients were admitted within 30, 60, 90 days of tx-index, respectively.</t>
  </si>
  <si>
    <t>Optum Clinformatics Data Mart between 1/1/2010 and 6/30/2017</t>
  </si>
  <si>
    <t>QOL Summary</t>
  </si>
  <si>
    <t>Chung_JMCP_2018 (abstract)</t>
  </si>
  <si>
    <t>Utility Summary</t>
  </si>
  <si>
    <t>CEA - Summary of Model</t>
  </si>
  <si>
    <t>Healthcare resource utilization in a phase 3 study of cpx-351 in patients with newly diagnosed therapy-related acute myeloid leukemia or acute myeloid leukemia with myelodysplasia- related changes</t>
  </si>
  <si>
    <t>CEA - Health State Utility Used</t>
  </si>
  <si>
    <t>Non-CEA - Summary of Model or Study</t>
  </si>
  <si>
    <t>2018, International</t>
  </si>
  <si>
    <t>Non-CEA - Summary of Result</t>
  </si>
  <si>
    <t>CPX-351 (liposomal 7+3) vs. 7+3 cytarabine+daunorubicin</t>
  </si>
  <si>
    <t>Non-CEA - Detail of the analysis</t>
  </si>
  <si>
    <t>Newly diagnosed therapy-related AML (t-AML) or AML with myelodysplasia-related changes (AML-MRD)</t>
  </si>
  <si>
    <t>Healthcare Resource Utilization in a Phase 3 RCT</t>
  </si>
  <si>
    <t>The mean (SD) and median (range) total duration of hospitalization were 36.17 (16.46) and 33.0 (1.0-90.0) days in the 7+3 cytarabine-daunorubicin arm (n = 151). The mean (SD) andmedian (range) duration of hospitalization PPY were 118.97 (109.54) and 71.57 (1.2-356.9) days in the 7+3 cytarabine-daunorubicin arm. The mean (SD) and median (range) total duration of ICU stays were 1.45 (3.46) and 0 (0-17.0) days in the 7+3 cytarabine-daunorubicin arm. In 7+3 arms, the mean and median numbers were 9.83 and 8.0 for of administration of platelets; 8.00 and 6.0 for packed red bloods cells; 23.72 and 19.0 for anti-infectives; and 1.05 and 1.0 for CSF. In 7+3 arms, the mean and median numbers of PPY were 40.87 and 18.65 for administration of platelets; 30.83 and 17.90 for packed red blood cells 97.56 and 32.50 for anti-infectives; and 0.89 and 0 for CSF.</t>
  </si>
  <si>
    <t>P3 RCT</t>
  </si>
  <si>
    <t>Hagiwara_VIH_2018 (abstract)</t>
  </si>
  <si>
    <t xml:space="preserve">Treatment practice patterns, healthcare resource utilization (HRU), and costs in newly diagnosed patients with therapy-related acute myeloid leukemia (tAML) or aml with myelodysplasia-related changes (aml-mrc) in a united states (us) commercially insured </t>
  </si>
  <si>
    <t>2016, US</t>
  </si>
  <si>
    <t>Cytotoxic therapy, HCT</t>
  </si>
  <si>
    <t>Newly diagnosed, t-AML, AML with myelodysplasia-related changes, or MDS with evidence of HCT, radiotherapy, or cytotoxic treatment, t-AML/AML-MRC N=2,901, Total AML N=9,455</t>
  </si>
  <si>
    <t>Retrospective observational study using PharMetricsPlus® database of adults with AML from 1/2007 until 6/2016</t>
  </si>
  <si>
    <t>Mean total costs treated AML that is to therapy-related or MDS-related changes were $352,606 vs untreated $80,536 patients. Among treated patients, mean total costs were $179,863 and $172,743 during months 1-6 (mean 4.4 months) and months &gt;6 (mean 12.3 months), respectively. Among treated patients, 26% had HCT; mean costs of CT during months 1-6 were $75,137 (inpatient $54,745), representing 21% of total cost for treated patients. Overall AML population's mean total costs were $173,863 and $212,214 in months 1-6 and &gt;6, respectively, in treated patients and $79,382 in untreated patients.</t>
  </si>
  <si>
    <t>CLIN</t>
  </si>
  <si>
    <t>Glasdegib improved overall survival in patients with acute myeloid leukemia (AML) or myelodysplastic syndrome (MDS) who achieved complete remission (CR) and those who did not achieve CR</t>
  </si>
  <si>
    <t>AZA-AML-001; NCT01074047</t>
  </si>
  <si>
    <t>Jacob_AH_2015</t>
  </si>
  <si>
    <t>Decitabine Compared with Low-Dose Cytarabine for the Treatment of Older Patients with Newly Diagnosed Acute Myeloid Leukemia: A Pilot Study of Safety, Efficacy, and Cost-Effectiveness.</t>
  </si>
  <si>
    <t>2015, India</t>
  </si>
  <si>
    <t>Decitabine vs. Low-dose cytarabine</t>
  </si>
  <si>
    <t>Newly diagnosed AML, ≥ 60 years old, histologically confirmed de novo or secondary AML (&gt;20% blasts) who were not fit for intensive chemotherapy with 3 + 7 induction</t>
  </si>
  <si>
    <t>Prospective case control study</t>
  </si>
  <si>
    <t xml:space="preserve">Cost per cycle of chemotherapy in INR was 24,200 for decitabine and 1,600 for low-dose cytarabine group 
Median of total cost of therapy was 96,800 for decitabine and 6,400 for low-dose cytarabine group
</t>
  </si>
  <si>
    <t>Cost of chemotherapy including medicines and daycare charges from the prospective study</t>
  </si>
  <si>
    <t>Newly diagnosed, previously untreated AML and high-risk MDS unfit for intensive chemotherapy</t>
  </si>
  <si>
    <t>Abu-Taleb_EJC_2013 (abstract)</t>
  </si>
  <si>
    <t>Low dose cytarabine with or without anthracycline in the induction treatment of elderly patients with acute myeloid leukemia.</t>
  </si>
  <si>
    <t>RCT</t>
  </si>
  <si>
    <t>2013, NR</t>
  </si>
  <si>
    <t>Low dose Cytarabine (LDAC) vs. LDAC + Doxorubicin</t>
  </si>
  <si>
    <t>De novo AML, age ≥60, ECOG PS ≤2</t>
  </si>
  <si>
    <t>RCT; n=90</t>
  </si>
  <si>
    <t>Hospital admission for blood transfusion (LDAC vs. LDAC + Doxorubicin):  27 (60%)  vs. 8 (17.7%)
Significantly shorter admission duration for transfusion in favor of arm 2 P&lt;0.001</t>
  </si>
  <si>
    <t>Dass_VH_2012 (abstract)</t>
  </si>
  <si>
    <t>Decitabine reduces transfusion dependence in older patients with acute myeloid leukaemia: Results from a post-HOC analysis of a randomised phase III trial.</t>
  </si>
  <si>
    <t>2012, NR</t>
  </si>
  <si>
    <t>Decitabine (DEC) vs. Treatment choice (TC: supportive care, or low-dose cytarabine)</t>
  </si>
  <si>
    <t>Newly diagnosed AML, age ≥65</t>
  </si>
  <si>
    <t>Post-hoc analysis of P3 RCT (DACO-16 Trial; NCT00260832); n=485</t>
  </si>
  <si>
    <t>Platelet Transfusion-independence achieved (DEC vs. TC): 26 (31%) vs. 11 (13%) p=0.0069
RCT Transfusion-independence achieved (DEC vs. TC): 44 (26%) vs. 21 (13%) p=0.0026
Number of hospitalized patients for transfusion (DEC vs. TC): 191 vs. 182
Median % of hospital nights for transfusion (DEC vs. TC): 34% vs. 39%
Number of hospitalized patients for adverse event (DEC vs. TC): 132 vs. 100
Median % of hospital nights for adverse event (DEC vs. TC): 17.5% vs. 20.0%</t>
  </si>
  <si>
    <t>DACO-16 Trial</t>
  </si>
  <si>
    <t>Zeidan_ERH_2016</t>
  </si>
  <si>
    <t>Economic burden associated with acute myeloid leukemia treatment.</t>
  </si>
  <si>
    <t>2016, US and UK</t>
  </si>
  <si>
    <t>Intensive therapy (IT) vs. Induction and then SCT vs. Low intensity therapy (LIT) vs. Best supportive care (BSC)</t>
  </si>
  <si>
    <t>AML</t>
  </si>
  <si>
    <t>Estimate the average direct cost-of-illness per patient for the first 6 months of therapy in the US and the UK based on the cost data identified through SLR</t>
  </si>
  <si>
    <t>SCT (highest direct costs): $177,187 and $352,682 for UK and US, respectively (transplantation 80% in UK and hospitalization 51% in US)
IT: $59,426 and $324,502 for UK and US (hospitalization cost 74% in UK and 93% in US)
LIT: $45,854 and $57,039 for UK and US (medication 86% in UK and 83% in US)
BSC only: $5837 and $14,014 for UK and US (transfusion 70% in UK and medication 55% in US)
Overall, treatment in the US is more expensive than treatment in the UK</t>
  </si>
  <si>
    <t>Direct cost of disease, induction therapy, consolidation therapy, transplantation from SLR</t>
  </si>
  <si>
    <t>Cannas_TCB_2015</t>
  </si>
  <si>
    <t>Economic analysis of blood product transfusions according to the treatment of acute myeloid leukemia in the elderly.</t>
  </si>
  <si>
    <t>2015, France</t>
  </si>
  <si>
    <t>Intensive chemotherapy (IC) vs. Low-intensity treatments (LC) vs. Best supportive care (BSC)</t>
  </si>
  <si>
    <t>Newly diagnosed AML, age ≥ 70</t>
  </si>
  <si>
    <t>Prospective observational study (n=214); French payer perspective</t>
  </si>
  <si>
    <t xml:space="preserve">Median number (range) of transfusions (IC vs. LC vs. BSC): packed red blood cell (PRBC) 22 (0–116) vs. 15 (0–136) vs. 7.5 (0–101) /  platelet concentrate (PC) 18 (0–116) vs. 5 (0–208) vs. 2 (0–56) / fresh frozen plasma (FFP) 0 (0–22) vs. 0 (0–6) vs. 0 (0–14) 
Mean blood product transfusions cost (IC vs. LC vs. BSC): EUR €7228.72 vs. EUR €5458.34 vs. EUR €2586.07
</t>
  </si>
  <si>
    <t>Review of clinical files and Electronic Medical Record in Lyon-University Hospital
Blood product transfusions cost from wholesale acquisition costs in the April 2014 edition of the ‘Journal officiel dela République Fran¸caise’: 187.33 euros for one PRBC, 76.45 euros for one PC, and 99.06 euros for oneFFP</t>
  </si>
  <si>
    <t>Laing_BJH_2017 (abstract)</t>
  </si>
  <si>
    <t>Elderly acute myeloid leukaemia (AML): Treatment patterns, trial participation, inpatient resource use and outcomes: A single-centre experience.</t>
  </si>
  <si>
    <t>Intensive treatment vs. Non-intensity treatment vs. Supportive care</t>
  </si>
  <si>
    <t>AML, age ≥ 60</t>
  </si>
  <si>
    <t>Retrospective review of Electronic Medical Record, North Glasgow hospitals from 2010 to 2015; n=68</t>
  </si>
  <si>
    <t>Total number of inpatient days (Intensive vs. Non-intensive vs. Supportive): 96 vs. 40 vs. 24</t>
  </si>
  <si>
    <t>Electronic Medical Records from the North Glasgow hospitals</t>
  </si>
  <si>
    <t>Griffin_Blood_2017 (abstract)</t>
  </si>
  <si>
    <t>Treatment patterns and healthcare resource utilization in patients with FLT3-mut and FLT3-wt acute myeloid leukemia: a multi-country medical chart study</t>
  </si>
  <si>
    <t>2017, International (Canada, France, Germany, Italy, Japan, Netherlands, South Korea, Spain, UK, US)</t>
  </si>
  <si>
    <t>Hypomethylating therapies, standard-to-intermediate dose cytarabine-based therapies, SCT</t>
  </si>
  <si>
    <t>Newly diagnosed AML patients with and without FLT3 mutation who are &lt;65 and &gt;=65</t>
  </si>
  <si>
    <t xml:space="preserve">Hematologists, Oncologists from an established panel randomly selecting and categorizing patients to collect baseline characteristics, treatment patterns, AML-related HCRU </t>
  </si>
  <si>
    <t xml:space="preserve">Among newly diagnosed patients &lt;65, the most common initial tx was standard-to-intermediate dose cytarabine (43.2 and 55.9% for FLT3-mutated and FLT3-wild-type), followed by hypomethylating agent (HMA)-based therapies (13.7 and 11.8% for FLT3-mutated and FLT3-wild-type). Among newly diagnosed patients &gt;=65, the most common initial tx were HMA-based therapies (36.0 and 47.2% for FLT3-mutated and FLT3-wild-type), followed by standard-to-intermediate dose cytarabine (30.1 and 30.8% for FLT3-mutated and FLT3-wild-type). </t>
  </si>
  <si>
    <t xml:space="preserve">Hematologists, Oncologists </t>
  </si>
  <si>
    <t>Lachowiez_Blood_2017 (abstract)</t>
  </si>
  <si>
    <t>Healthcare consumption amongst older patients with high risk AML treated with hypomethylating agents is similar to that of patients receiving induction chemotherapy.</t>
  </si>
  <si>
    <t>Hypomethylating therapies, intensive chemotherapy, SCT</t>
  </si>
  <si>
    <t>Newly diagnosed AML patients who re older (age &gt;65) with  cytogenetically high risk  treated with either HMAs or intensive induction</t>
  </si>
  <si>
    <t>Single-center retrospective EMRg for chemotherapy regimen at time of diagnosis, transplant free survival, encounters in the healthcare setting (office or hospital), charges accrued until death or HSCT, blood transfusions (red blood cells and platelets) administered, and overall survival between 2010 and 2016.</t>
  </si>
  <si>
    <t xml:space="preserve">Out of 84 patients included, 31 patients received HMAs and 53 underwent intensive (7+3 or equivalent) induction therapy and 30 patients underwent HSCT (HMA:7, Intensive induction: 23). The mean number of encounters with the healthcare system (inpatient and outpatient encounters) was not significantly different between HMA vs. intensive induction groups (27.3 days vs 34.9 days p-value: 0.48). The HMA group received a mean of 24.4 transfusions vs. 19.3 in the intensive induction group (p-value : 0.25). Differences in charges per day between groups did not vary significantly, with the HMA group averaging $1202.64 per day and the intensive induction group $1051.38 per day (p-value : 0.079). </t>
  </si>
  <si>
    <t>institutional EMR</t>
  </si>
  <si>
    <t>Riedel_ORT_2016 (abstract)</t>
  </si>
  <si>
    <t>AML patients in palliative care setting: Influence on life span and transfusion habits, assessment on quality of life and previous treatment.</t>
  </si>
  <si>
    <t>2016, Germany</t>
  </si>
  <si>
    <t>Palliative care (PC)</t>
  </si>
  <si>
    <t>AML patients in palliative care setting</t>
  </si>
  <si>
    <t>Retrospective review of Medical Record of patients treated with palliative care from 2008 to 2015; n=33</t>
  </si>
  <si>
    <t>RBC Transfusion at PC ward: 20 (61%)
Platelet Transfusion at PC ward: 20 (61%)</t>
  </si>
  <si>
    <t>Wang_VH_2014</t>
  </si>
  <si>
    <t>Long-term medical costs and life expectancy of acute myeloid leukemia: A probabilistic decision model.</t>
  </si>
  <si>
    <t>2007, UK</t>
  </si>
  <si>
    <t>Newly diagnosed AML, age ≥ 18</t>
  </si>
  <si>
    <t>Probabilistic decision model with eight Markov models to calculate life time medical costs and life expectancy of AML by using bottom-up costing (micro costing) approach; NHS perspective; 5 years time horizon; discount rate of 3.5%</t>
  </si>
  <si>
    <t>Expected 5-year medical cost per patient: GBP £8,170 to £81,636
Mean 5-year medical cost:  GBP £41,109 for all patients / GBP £79,483 for age 18-59 / GBP £22,318 for age ≥ 60</t>
  </si>
  <si>
    <t xml:space="preserve">Medical cost only (treatments, hospitalizations, diagnostictests, transfusions, and associated complications); 
Unit costs from British National Formulary, the Personal Social Services Research Unit, the cost lists of both the NHS Blood and Transplant and Leeds Teaching Hospitals NHS Trust
NHS Reference Cost 2007 is used only when bottom-up costing was not possible
Mean cost during induction
LDAC and early death among patients ≥ 60: £9,683
AraC(LD) and early response among patients ≥ 60: £14,527
AraC(LD) and late response among patients ≥ 60: £15,674
AraC(LD) and no response among patients ≥ 60: £26,257
</t>
  </si>
  <si>
    <t>Lafeuille_JCO_2017 (abstract)</t>
  </si>
  <si>
    <t>Burden of illness in patients with acute myeloid leukemia aged o65 years ineligible for intensive chemotherapy.</t>
  </si>
  <si>
    <t>AML, age ≥ 65, ineligible for intensive chemotherapy</t>
  </si>
  <si>
    <t>Retrospective review of Truven Health MarketScan Analytics Databases from 2011 to 2016; n=1492</t>
  </si>
  <si>
    <t xml:space="preserve">Patients with ≥1 blood transfusion (61%) received 8.9 (9.5) transfusions per month during 177 (244) days on average
Patients had a mean of 3.7 days of hospitalization, 0.2 days of hospice care, and 5.2 office visits per month
Compared to treated patients , untreated patients (32%; i.e., patients with no chemo, blood transfusion or stem cell transplant) had fewer days of postindex follow-up (106 vs. 263), more days of hospitalization (4.8 vs. 3.2), and of hospice care (0.4 vs. 0.1), and fewer office visits (3.8 vs. 5.8) per month (all P&lt;0.01).
</t>
  </si>
  <si>
    <t>Truven Health MarketScan Analytics Databases</t>
  </si>
  <si>
    <t>Aggarwal_VIH_2018 (abstract)</t>
  </si>
  <si>
    <t>Hospital length of stay and costs in patients with acute myeloid leukemia: analysis of US national in-patient data for 2015</t>
  </si>
  <si>
    <t>AML patients with ICD-10 codes for Q4 (or ICD-9 for Q1-Q3)</t>
  </si>
  <si>
    <t>National Inpatient Sample data set from 2015 for hospital admissions via  the Healthcare Cost and Utilization Project</t>
  </si>
  <si>
    <t>In 2015, 12,634 admissions were identifeid as AML representing 0.146% of all hospitalizations. The mean length of stay was 13.04 days (SD: 15.76 days, Median: 6 days). While majority of the hospitalizations were in patients age &gt;60 years (55%), the length of stay was longest for children, followed by adults age 45-59. Mean (SD) length of stay by age: 0-18: 20.22 days (20.31, n=532), 18-45: 13.49 days (18.58, n=1618), 45-59: 15.15 days (16.62, n=2110) and 60+: 11.32 days (13.43, n=5216). The mean length of stay was shortest for Medicare 10.54 days (12.54), while it was similar for Medicaid and Private payers: 15.37 days (17.74) and 15.06 days (18.01), respectively. The overall mean cost was $141,407 (SD: $225,215). Mean (SD) charges by age: 0-18: $238,092 (SD: $391,443), 18-45: $155,482 (SD: $251,028), 45-59: $170,983 (SD: $247,822) and 60+: $115,216 (SD: $173,559). Similar to length of stay, the total charges were lowest for Medicare $107,913 (SD: $165,576), while charges were similar for Medicaid and Private payers: $174,545 (SD: $284,624) and $166,731 (SD: $253,656), respectively. length of stay and charges did not significantly vary by gender or race.</t>
  </si>
  <si>
    <t>ITC</t>
  </si>
  <si>
    <t>Westley_Blood_2018 (abstract)</t>
  </si>
  <si>
    <t>Comparative Effectiveness of Combination Glasdegib+ Low-Dose Cytarabine (GLAS+LDAC) Vs Combination Venetoclax + Low-Dose Cytarabine (VEN+LDAC) Among Older Acute Myeloid Leukemia (AML) Patients Ineligible for Intensive Chemotherapy (NIC): Indirect Treatment Comparison (ITC) Methods</t>
  </si>
  <si>
    <t>Glasdegib (GLAS) + low-dose cytarabine (LDAC) vs Venetoclax (VEN) + LDAC</t>
  </si>
  <si>
    <t>Newly diagnosed AML patients ineligible for intensive chemotherapy</t>
  </si>
  <si>
    <t>ITC and STC models followed the unanchored, single-arm comparison as guided by the National Institute of Health and Care Excellence Decision Support Unit. Mean differences (MD) in median OS (months) between treatments were estimated using a modified Bucher ITC approach with 95% confidence intervals (CI). While ITC did not adjust for patient characteristics, using STC, GLAS+LDAC IPD were adjusted for VEN+LDAC patient baseline covariates.</t>
  </si>
  <si>
    <t>ITC found non-significant differences between GLAS+LDAC and VEN+LDAC for median OS [MD=-3.09 (-9.34, 3.17)] and 12-month OS [MD=-0.07 (-0.23, 0.10)], with numeric trends favoring VEN+LDAC (as shown in the Table). With full STC adjustment, PH models showed numeric but not statistical superiority of GLAS+LDAC vs VEN+LDAC for median OS [e.g., Gompertz-derived MD=0.60 (-4.43, 5.62)].</t>
  </si>
  <si>
    <t>individual patient-level data (IPD) for GLAS+LDAC (n=116), published results for phase I/II single arm study for VEN+LDAC (n=61)</t>
  </si>
  <si>
    <t>Forsythe_VIH_2018 (abstract)</t>
  </si>
  <si>
    <t>Systematic literature review and indirect comparison of glasdegib plus low dose ARA-c versus a hypomethylating agent for acute myeloid leukemia patients ineligible for intensive chemotherapy.</t>
  </si>
  <si>
    <t>Azacitidine, decitabine, glasdegib, low-dose cytarabine</t>
  </si>
  <si>
    <t xml:space="preserve">Classical frequentist ITC using the Bucher method compared OS hazards ratios (HRs), 95% confidence intervals (CI) using LDAC as the common comparator. </t>
  </si>
  <si>
    <t>In the ITC, with LDAC as the common comparator, GLAS+LDAC compared favorably with indirect HR for OS vs. AZA and DEC being 0.51 (0.35-0.75) and 0.57 (0.40-0.80), respectively. Using ITC, treatment with GLAS+LDAC showed significantly better OS HR than AZA and DEC in previously untreated NIC AML patients.</t>
  </si>
  <si>
    <t>Four RCTs from systemic literature search through 12/2016</t>
  </si>
  <si>
    <t>Tremblay_Blood_2017 (abstract)</t>
  </si>
  <si>
    <t>Covariate adjusted indirect treatment comparison (ITC) of glasdegib plus low dose ara-C versus a hypomethylating agent for acute myeloid leukemia patients ineligible for intensive chemotherapy.</t>
  </si>
  <si>
    <t>The intent-to-treat (ITT) OS Cox model for GLAS+LDAC vs. LDAC demonstrated OS HR=0.463 (0.299-0.717). The covariate adjustment lead to OS HR=0.443 (0.275-0.712). ITC of GLAS+LDAC vs. AZA yielded OS HRs of 0.514 (0.310-0.852) and 0.492 (0.287-0.843) for ITT and covariate adjusted OS, respectively. ITC of GLAS+LDAC vs. DEC yielded OS HRs of 0.564 (0.351-0.908) and 0.540 (0.324-0.900). The results of the covariate adjusted ITC confirmed the robustness of the ITT analysis and demonstrated statistically significant improvements in OS for GLAS+LDAC as compared to AZA and DEC.</t>
  </si>
  <si>
    <t>Individual patient data from the GLAS+LDAC treatment group were adjusted for baseline characteristics to closely resemble the LDAC group in the Phase 2 study</t>
  </si>
  <si>
    <t>Tremblay_VIH_2018 b (abstract)</t>
  </si>
  <si>
    <t>Evaluating different indirect treatment comparison approaches: a case study in acute myeloid leukemia patients ineligible to receive intensive chemotherapy</t>
  </si>
  <si>
    <t>QOL</t>
  </si>
  <si>
    <t>AML patients ineligible to receive intensive chemotherapy</t>
  </si>
  <si>
    <t xml:space="preserve">Trials results were indirectly compared with LDAC alone as the common comparator. In MAIC, patient-level data for GLAS+LDAC were weighted to match mean baseline characteristics reported for AZA. In STC, GLAS+LDAC data generated a regression model with baseline characteristics as covariates, which was used to simulate outcomes for AZA trial participants. </t>
  </si>
  <si>
    <t>Standard ITC demonstrated GLAS+LDAC superiority over AZA (HR= 0.57; 95%CI: 0.35- 0.91). Using MAIC, propensity score weighting reduced effective sample size to 32 (72% loss). MAIC estimated improved OS in favor of GLAS+LDAC, but did not reach statistical significance (HR= 0.87; 95%CI: 0.48-1.58). In STC, adjusting for key population covariates found a similar yet stronger, more precise survival effect (HR= 0.47; 95%CI: 0.26-0.85) without reducing sample size. While standard ITC and STC preserve the sample, only STC enables population-specific interpretations. In MAIC, significant results and interpretations are severely limited by sample size loss.</t>
  </si>
  <si>
    <t>P2 trial data patient-level data for GLAS+LDAC, P3 azacitidine (AZA) trial data</t>
  </si>
  <si>
    <t>Chung_VIH_2018 (abstract)</t>
  </si>
  <si>
    <t>CPX-351 for the treatment of newly diagnosed, therapy-related acute myeloid leukemia (tAML) or AML with myelodysplasia-related changes (AML-MRC): an analysis of clinical benefit</t>
  </si>
  <si>
    <t>Newly diagnosed therapy-related AML (t-AML)/ AML with myelodysplasia-related changes (AML-MRD), N=309</t>
  </si>
  <si>
    <t>The NNT in a P3 trials to prevent 1 death at 2 years with CPX-351 versus 7+3 was calculated as the reciprocal of the absolute risk reduction (1/ARR), where ARR equaled the control death rate minus experimental death rate.</t>
  </si>
  <si>
    <t>For every 6 patients treated with CPX-351, 1 death would be prevented over 2 years compared with 7+3 (1/(0.84 – 0.67)).</t>
  </si>
  <si>
    <t>Morais_Haematologica_2018 (abstract)</t>
  </si>
  <si>
    <t>Palliative care indication in oncohematologic patients: a comparison to solid tumor patients</t>
  </si>
  <si>
    <t>2018, Spain</t>
  </si>
  <si>
    <t>Chemotherapy, hypomethylating agents, supportive care</t>
  </si>
  <si>
    <t>Consecutive AML and HR-MDS &gt; 65 years patients and stage-IV lung cancer patients, N=175</t>
  </si>
  <si>
    <t>Comparison of end-of-life care in AML-MDS and stage IV lung cancer in a tertiary care center; Univariant comparisons of the main indicators of end-of-life  aggressiveness between the 2 cohorts were done using Chi-square or Wilcoxon tests as appropriate.</t>
  </si>
  <si>
    <t>There were no statistical differences regarding the frequency of hospital admissions, days spent in hospital or the proportion of patients receiving chemotherapy within the 14 last days of life. However, more AML/MDS patients were admitted into hospital in their last month of life (86 vs 44%, p&lt;0.001). More AML patients were transfusion dependent and received more red blood cells or platelet transfusion in their last 2 months of life. (75% vs 3%, p&lt;0.0001.) Referral to PC Unit was documented in 19% AML/MDS compared to 48% lung cancer patients (p&lt;0.001). In 1L, 21% AML-MDS were treated with chemotherapy, 64% with hypomethylating agents and 15% with supportive care exclusively. 13 of 77 patients received second line therapy for progression or relapse after first response. 10 AML patients received chemotherapy and 3 hypomethylating agents.</t>
  </si>
  <si>
    <t>Wex_VIH_2018 (abstract)</t>
  </si>
  <si>
    <t>Accounting for drug wastage in haematology-oncology treatments: review of clinical practice and recent technology appraisals in England</t>
  </si>
  <si>
    <t>PubMed search of evidence of drug wastage, NICE technology appraisal guidance documents in treatmeent of leukemia, lymphoma, and myeloma</t>
  </si>
  <si>
    <t>The 160 identified publications addressed the following drug wastage components: unused drugs in vials/ampoules, dead-space syringes, early discontinuation, non-compliance or death, non-extractable amount, wastage due to reconstitution, limited drug stability, and spillage. The following waste reduction measures were identified: vial sharing, scheduling/grouping/batching of patients, drug use and stability surveillance, dose rounding, dose banding, multi-dose devices/vials/cartridges, overlapping prescription fills, split-fills/instalment dispensing, drug overage in vials, increased range of vial sizes, recycling of unused drug, extension of drug expiration date, use of low dead space syringes.</t>
  </si>
  <si>
    <t>Of the 10 identified blood cancer appraisals, full wastage was reported in base case of 5 submissions, no wastage in 3. Two submissions did not report drug wastage.</t>
  </si>
  <si>
    <t>Castejon_HQLO_2018</t>
  </si>
  <si>
    <t>Social preferences for health states associated with acute myeloid leukemia for patients undergoing treatment in the United Kingdom.</t>
  </si>
  <si>
    <t>AML, &gt;= 18 years old, resided in the UK, no evidence of cognitive impairment, hearing difficulty, visual impairment, or of altered mental state</t>
  </si>
  <si>
    <t>The time trade-off (TTO) model among UK population and elicitation survey to validate the health states</t>
  </si>
  <si>
    <t>Eight health states were developed and clinically validated, including treatment with chemotherapy, consolidation therapy, transplant, graft-vs-host disease (GvHD), remission, relapse, refractory, and functionally cured. Mean TTO preference values (n = 120), ranked from lowest (worst health state) to highest (best health state) were as follows: refractory − 0.11 (− 0.21 to − 0.01), relapse 0.10 (0.00–0.20), transplant 0.28 (0.20–0.37), treatment with chemotherapy 0.36 (0.28–0.43), GvHD 0.43 (0.36–0.50), consolidation 0.46 (0.40–0.53), remission 0.62 (0.57–0.67), and functionally cured 0.76 (0.72–0.79).</t>
  </si>
  <si>
    <t>Azacitidine</t>
  </si>
  <si>
    <t>Azacitidine in the 'real-world': an evaluation of 1101 higher-risk myelodysplastic syndrome/low blast count acute myeloid leukaemia patients in Ontario, Canada.</t>
  </si>
  <si>
    <t>AML patients with low blast count and higher-risk MDS patients</t>
  </si>
  <si>
    <t>Prospective Multicenter</t>
  </si>
  <si>
    <t>Cortes_Leuke_2019; Cortes_Blood_2016 (Abstract);  Cortes_Haema_2018 (Abstract)</t>
  </si>
  <si>
    <t>NCT01546038</t>
  </si>
  <si>
    <t>Glasdegib + Low-dose Cytarabine</t>
  </si>
  <si>
    <t>Low-dose Cytarabine</t>
  </si>
  <si>
    <t>Cortes_Blood_2016 (Abstract);  Cortes_Haema_2018 (Abstract)</t>
  </si>
  <si>
    <t>Dombret_Blood_2015; Seymour_Haema_2015 (abstract); Seymour_LL_2017</t>
  </si>
  <si>
    <t>Low-dose cytarabine</t>
  </si>
  <si>
    <t>Fenaux_LO_2009; Fenaux_BJH_2010</t>
  </si>
  <si>
    <t>Low-Dose Cytarabine</t>
  </si>
  <si>
    <t>Best Supportive Care</t>
  </si>
  <si>
    <t>Fenaux_JCO_2010</t>
  </si>
  <si>
    <t>AZA-001 (NCT00071799) Subgroup analysis</t>
  </si>
  <si>
    <t>Silverman_JCO_2002</t>
  </si>
  <si>
    <t>CALGB 9221</t>
  </si>
  <si>
    <t>Montalban-Bravo_Blood_2016 (Abstract)</t>
  </si>
  <si>
    <t>A phase II clinical trial of azacitidine and vorinostat for patients with acute myeloid leukemia (AML) or myelodysplastic syndromes (MDS) with poor performance status, comorbidities, other active malignancies or organ dysfunction not eligible for conventional clinical trials</t>
  </si>
  <si>
    <t>Montalban_Leukemia_2017</t>
  </si>
  <si>
    <t>A clinical trial for patients with acute myeloid leukemia or myelodysplastic syndromes not eligible for standard clinical trials.[Erratum appears in Leukemia. 2017 Jul;31(7):1659; PMID: 28338082]</t>
  </si>
  <si>
    <t>NCT00948064</t>
  </si>
  <si>
    <t>Azacitidine (expansion)</t>
  </si>
  <si>
    <t>Vorinostat+Azacitidine (expansion)</t>
  </si>
  <si>
    <t>Seymour_BMCC_2017</t>
  </si>
  <si>
    <t>Azacitidine improves clinical outcomes in older patients with acute myeloid leukaemia with myelodysplasia-related changes compared with conventional care regimens</t>
  </si>
  <si>
    <t>AZA-AML trial; NCT01074047</t>
  </si>
  <si>
    <t>Conventional Care Regimens</t>
  </si>
  <si>
    <t>Study Information</t>
  </si>
  <si>
    <t>Demographics</t>
  </si>
  <si>
    <t>Efficacy - All Patients</t>
  </si>
  <si>
    <t>Efficacy - AML only</t>
  </si>
  <si>
    <t>Efficacy  - MDS only</t>
  </si>
  <si>
    <t>All Patients</t>
  </si>
  <si>
    <t>AML Only</t>
  </si>
  <si>
    <t>MDS Only</t>
  </si>
  <si>
    <t>All / Or Note the Population</t>
  </si>
  <si>
    <t>Transfusion</t>
  </si>
  <si>
    <t>Study Title</t>
  </si>
  <si>
    <t>Study Acronym</t>
  </si>
  <si>
    <t>Interventions Acronym</t>
  </si>
  <si>
    <t>Inclusion Criteria</t>
  </si>
  <si>
    <t>N (Demography)</t>
  </si>
  <si>
    <t>Total N</t>
  </si>
  <si>
    <t>Age (median)</t>
  </si>
  <si>
    <t>Age (overall median)</t>
  </si>
  <si>
    <t>Male, n (%)</t>
  </si>
  <si>
    <t>AML N (%)</t>
  </si>
  <si>
    <t>MDS N (%)</t>
  </si>
  <si>
    <t>De novo, n (%) / Secondary, n (%)</t>
  </si>
  <si>
    <t>Bone marrow blasts, median, % (range)</t>
  </si>
  <si>
    <t>Baseline HgB, median g/dL (range)</t>
  </si>
  <si>
    <t>ECOG PS 0/1, N (%)</t>
  </si>
  <si>
    <t>Cytogenic risk (good/intermediate)</t>
  </si>
  <si>
    <t>Cytogenic risk (poor)</t>
  </si>
  <si>
    <t>Treatment duration (med, days)</t>
  </si>
  <si>
    <t>N</t>
  </si>
  <si>
    <t>OS months</t>
  </si>
  <si>
    <t>OS CI</t>
  </si>
  <si>
    <t>OS HR</t>
  </si>
  <si>
    <t>HR CI</t>
  </si>
  <si>
    <t>p-value</t>
  </si>
  <si>
    <t>OS Summary</t>
  </si>
  <si>
    <t>CR/CRi</t>
  </si>
  <si>
    <t>CR/CRi Summary</t>
  </si>
  <si>
    <t>CR</t>
  </si>
  <si>
    <t>PR</t>
  </si>
  <si>
    <t>CR/PR Summary</t>
  </si>
  <si>
    <t>Time to CR (mean days)</t>
  </si>
  <si>
    <t>Time to CR (median days)</t>
  </si>
  <si>
    <t>Time to CR (range)</t>
  </si>
  <si>
    <t>Median Time to CR Summary</t>
  </si>
  <si>
    <t>Achieved Transfusion Independence</t>
  </si>
  <si>
    <t>Transfusion Rates</t>
  </si>
  <si>
    <t>Achieved Transfusion Independence Summary</t>
  </si>
  <si>
    <t>N (Safety Population)</t>
  </si>
  <si>
    <t>Anemia</t>
  </si>
  <si>
    <t>Febrile Neutropenia</t>
  </si>
  <si>
    <t>Neutropenia</t>
  </si>
  <si>
    <t xml:space="preserve">Nausea </t>
  </si>
  <si>
    <t>Decreased Appetite</t>
  </si>
  <si>
    <t>Fatigue</t>
  </si>
  <si>
    <t>Thrombocytopenia</t>
  </si>
  <si>
    <t>Diarrhea</t>
  </si>
  <si>
    <t>Pyrexia</t>
  </si>
  <si>
    <t>Pneumonia</t>
  </si>
  <si>
    <t>Constipation</t>
  </si>
  <si>
    <t>Dysgeusia</t>
  </si>
  <si>
    <t>Dyspnea</t>
  </si>
  <si>
    <t>Peripheral Edema</t>
  </si>
  <si>
    <t>Muscle Spasms</t>
  </si>
  <si>
    <t>Infection</t>
  </si>
  <si>
    <t>Leukopenia</t>
  </si>
  <si>
    <t>Hypokalemia</t>
  </si>
  <si>
    <t>QOL Scales</t>
  </si>
  <si>
    <t>Stratified by Cytogenetic risk?</t>
  </si>
  <si>
    <t>Detailed</t>
  </si>
  <si>
    <t>P2 RCT, open-label</t>
  </si>
  <si>
    <t>Glasdegib+LDAC vs. LDAC</t>
  </si>
  <si>
    <t>Age &gt;= 55, newly diagnosed, previously untreated AML and high-risk MDS and not suitable for intensive chemothreapy (age &gt;=75, OR ECOG PS 2, OR Serum creatinine &gt;1.3 mg/dL, OR LVEF &lt;45%)</t>
  </si>
  <si>
    <t>78 (88.6%)</t>
  </si>
  <si>
    <t>10 (11.4%)</t>
  </si>
  <si>
    <t>46 (52.3%)/ 42 (47.7%)</t>
  </si>
  <si>
    <t>AML: 41.0% (16.0-100.0%), MDS: 14.0 (7.5-18.0)</t>
  </si>
  <si>
    <t>9.1 (6.4-14.0)</t>
  </si>
  <si>
    <t>40 (45.5%)</t>
  </si>
  <si>
    <t>52 (59.1%)</t>
  </si>
  <si>
    <t>36 (40.9%)</t>
  </si>
  <si>
    <t>6.6-9.5</t>
  </si>
  <si>
    <t>0.35-0.62</t>
  </si>
  <si>
    <t>OS months: 8.3 vs. 4.3, HR=0.46, HR CI=0.35-0.62, p=0.0002</t>
  </si>
  <si>
    <t>19 (24.4%) / 5 (6.4%)</t>
  </si>
  <si>
    <t>14 (17.9%)</t>
  </si>
  <si>
    <t>CR/CRi= 19 (24.4%) / 5 (6.4%) vs. 1 (2.6%) / 1 (2.6%)</t>
  </si>
  <si>
    <t>33-231</t>
  </si>
  <si>
    <t>81 vs. 59</t>
  </si>
  <si>
    <t>35 (41.7%)</t>
  </si>
  <si>
    <t>30 (35.7%)</t>
  </si>
  <si>
    <t>2 (2.4%)</t>
  </si>
  <si>
    <t>3 (3.6%)</t>
  </si>
  <si>
    <t>12 (14.3%)</t>
  </si>
  <si>
    <t>26 (31.0%)</t>
  </si>
  <si>
    <t>4 (4.8%)</t>
  </si>
  <si>
    <t>20 (23.8%)</t>
  </si>
  <si>
    <t>1 (1.2%)</t>
  </si>
  <si>
    <t>0 (0%)</t>
  </si>
  <si>
    <t>6 (7.1%)</t>
  </si>
  <si>
    <t>YES</t>
  </si>
  <si>
    <t>Patients were stratified by cytogenetic risk factor (good/intermediate or poor).</t>
  </si>
  <si>
    <t>38 (86.4%)</t>
  </si>
  <si>
    <t>6 (13.6%)</t>
  </si>
  <si>
    <t>22 (50.0%)/ 22 (50.0%)</t>
  </si>
  <si>
    <t>AML: 46.0% (13.0-95.0%), MDS: 16.0 (10.5-19.0)</t>
  </si>
  <si>
    <t>21 (47.7%)</t>
  </si>
  <si>
    <t>25 (56.8%)</t>
  </si>
  <si>
    <t>19 (43.2%)</t>
  </si>
  <si>
    <t>2.9-4.9</t>
  </si>
  <si>
    <t>1 (2.6%) / 1 (2.6%)</t>
  </si>
  <si>
    <t>1 (2.6%)</t>
  </si>
  <si>
    <t>0 (0.0%)</t>
  </si>
  <si>
    <t>15 (36.6%)</t>
  </si>
  <si>
    <t>10 (24.4%)</t>
  </si>
  <si>
    <t>1 (2.4%)</t>
  </si>
  <si>
    <t>2 (4.9%)</t>
  </si>
  <si>
    <t>9 (21.9%)</t>
  </si>
  <si>
    <t>P2 RCT, open-label, sub-group analysis (CR)</t>
  </si>
  <si>
    <t>Newly diagnosed, previously untreated AML and high-risk MDS unfit for intensive chemotherapy achieved CR</t>
  </si>
  <si>
    <t>14 (93.3%)</t>
  </si>
  <si>
    <t>1 (6.7%)</t>
  </si>
  <si>
    <t>7 (46.7%) / 7 (46.7%)</t>
  </si>
  <si>
    <t>4 (26.7%)</t>
  </si>
  <si>
    <t>12 (80.0%)</t>
  </si>
  <si>
    <t>3 (20.0%)</t>
  </si>
  <si>
    <t>15 (100%) / 0 (0%)</t>
  </si>
  <si>
    <t>CR/CRi= 15 (100%) / 0 (0%) vs. 1 (100%) / 0 (0%)</t>
  </si>
  <si>
    <t>1 (100.0%)</t>
  </si>
  <si>
    <t>1 (100.0%) / 0 (0.0%)</t>
  </si>
  <si>
    <t>1 (100%) / 0 (0%)</t>
  </si>
  <si>
    <t>P2 RCT, open-label, sub-group analysis (no CR)</t>
  </si>
  <si>
    <t>Newly diagnosed, previously untreated AML and high-risk MDS unfit for intensive chemotherapy did not achieve CR</t>
  </si>
  <si>
    <t>64 (87.7%)</t>
  </si>
  <si>
    <t>9 (12.3%)</t>
  </si>
  <si>
    <t>31 (42.5%) / 33 (45.2%)</t>
  </si>
  <si>
    <t>37 (50.7%)</t>
  </si>
  <si>
    <t>45 (61.6%)</t>
  </si>
  <si>
    <t>28 (38.4%)</t>
  </si>
  <si>
    <t>37 (86.0%)</t>
  </si>
  <si>
    <t>6 (14.0%)</t>
  </si>
  <si>
    <t>17 (39.5%) / 20 (46.5%)</t>
  </si>
  <si>
    <t>20 (46.5%)</t>
  </si>
  <si>
    <t>27 (62.8%)</t>
  </si>
  <si>
    <t>16 (37.2%)</t>
  </si>
  <si>
    <t>International phase 3 study of azacitidine vs conventional care regimens in older patients with newly diagnosed AML with &gt;30% blasts.</t>
  </si>
  <si>
    <t>P3 RCT, open-label, multicenter</t>
  </si>
  <si>
    <t>AZA vs. LDAC</t>
  </si>
  <si>
    <t>Older patients with newly diagnosed AML with &gt;30% blasts</t>
  </si>
  <si>
    <t>Age ≥ 65, newly diagnosed and histologically confirmed de novo or secondary AML, &gt;30% BM blasts, ineligible for hematopoietic stem cell transplantation, intermediate- or poor-risk cytogenetics, ECOG PS ≤2 , white blood cell count  ≤15 X 3 10^9/L</t>
  </si>
  <si>
    <t>241 (100%)</t>
  </si>
  <si>
    <t>192 (79.7%) / 49 (20.3%)</t>
  </si>
  <si>
    <t>70.0% (2.0-100.0%)</t>
  </si>
  <si>
    <t>9.5 (5.0-13.4)</t>
  </si>
  <si>
    <t>186 (77.2%)</t>
  </si>
  <si>
    <t>155 (64.3%)</t>
  </si>
  <si>
    <t>85 (35.3%)</t>
  </si>
  <si>
    <t xml:space="preserve"> 8.8-13.4</t>
  </si>
  <si>
    <t>0.700-1.160</t>
  </si>
  <si>
    <t>OS months: 11.2 vs. 6.4, HR=0.9, HR CI=0.700-1.160, p=0.427</t>
  </si>
  <si>
    <t>67 (27.8%)</t>
  </si>
  <si>
    <t>47 (19.5%)</t>
  </si>
  <si>
    <t>CR+CRi= 67 (27.8%) vs. NR (25.9%)</t>
  </si>
  <si>
    <t>65 (38.5%)</t>
  </si>
  <si>
    <t>65 (38.5%) vs. NR</t>
  </si>
  <si>
    <t>37 (15.7%)</t>
  </si>
  <si>
    <t>66 (28.0%)</t>
  </si>
  <si>
    <t>62 (26.3%)</t>
  </si>
  <si>
    <t xml:space="preserve"> 56 (23.7%)</t>
  </si>
  <si>
    <t>45 (19.1%)</t>
  </si>
  <si>
    <t>16 (6.8%)</t>
  </si>
  <si>
    <t xml:space="preserve"> 12 (5.1%)</t>
  </si>
  <si>
    <t>EORTCQLQ-C30</t>
  </si>
  <si>
    <t>Change from baseline scores for primary and secondary domains of the QLQ-C30 generally improved over 9 treatment cycles in both arm.
Azacitidine arm: Fatigue changed −9.0 (27.9%), Dyspnea changed −4.9 (26.9%), Physical Function changed +3.5 (18.3%) and Global QoL changed +7.8 (27.3%) at the end of cycle 9.
CCR arm: Fatigue changed −10.2 (33.9%), Dyspnea changed −2.8 (26.9%), Physical Function changed −0.4 (22.8%) and Global QoL changed 10.4 (23.1%) at the end of cycle 9.</t>
  </si>
  <si>
    <t>Randomization was stratified by preselected CCR (BSC,
LDAC, or IC), ECOG PS (0-1 or 2), and cytogenetic risk (intermediate or
poor).</t>
  </si>
  <si>
    <t>158 (100%)</t>
  </si>
  <si>
    <t>135 (85.4%) / 23 (14.6%)</t>
  </si>
  <si>
    <t>74.0% (4.0-100.0%)</t>
  </si>
  <si>
    <t>9.3 (5.0-13.5)</t>
  </si>
  <si>
    <t>123 (77.9%)</t>
  </si>
  <si>
    <t>104 (65.8%)</t>
  </si>
  <si>
    <t>54 (34.2%)</t>
  </si>
  <si>
    <t xml:space="preserve"> 4.8-9.1</t>
  </si>
  <si>
    <t>NR (25.9%)</t>
  </si>
  <si>
    <t>35 (22.9%)</t>
  </si>
  <si>
    <t>46 (30.1%)</t>
  </si>
  <si>
    <t>38 (24.8%)</t>
  </si>
  <si>
    <t>42 (27.5%)</t>
  </si>
  <si>
    <t>13 (16%)</t>
  </si>
  <si>
    <t>29 (19.0%)</t>
  </si>
  <si>
    <t>8 (10%)</t>
  </si>
  <si>
    <t>13 (8.5%)</t>
  </si>
  <si>
    <t>10 (6.5%)</t>
  </si>
  <si>
    <t>Efficacy of azacitidine compared with conventional care regimens in higher-risk myelodysplastic syndromes: results of a randomised, phase III study.</t>
  </si>
  <si>
    <t>Conventional Care Regimens (Induction Chemotherapy, Low-Dose Cytarabine, or Supportive Care Only)</t>
  </si>
  <si>
    <t>AZA-001 (NCT00071799)</t>
  </si>
  <si>
    <t>Intermediate-2 or high-risk MDS including AML patients</t>
  </si>
  <si>
    <t>Age ≥18, ECOG PS ≤ 2, life expectancy ≥3 months, MDS (IPSS intermediate-2 or high-risk), FAB-defined refractory anaemia (excess blasts), refractory anaemia (excess blasts in transformation), or chronic myelomonocytic leukaemia (bone-marrow blasts ≥10% and a white-blood-cell  ≤ 13×10^9 cells/L)</t>
  </si>
  <si>
    <t>16 (35%)</t>
  </si>
  <si>
    <t>27 (60%)</t>
  </si>
  <si>
    <t>9.6 (7.1-12.2)</t>
  </si>
  <si>
    <t>42 (94%)</t>
  </si>
  <si>
    <t>31 (69%)</t>
  </si>
  <si>
    <t>13 (29%)</t>
  </si>
  <si>
    <t>AZA vs. CCR= 97.28 vs. 91.2</t>
  </si>
  <si>
    <t>50 (45%)</t>
  </si>
  <si>
    <t>50 (45%) vs. 13 (11.4%)</t>
  </si>
  <si>
    <t>29 (64%)</t>
  </si>
  <si>
    <t>40 (89%)</t>
  </si>
  <si>
    <t>42 (93%)</t>
  </si>
  <si>
    <t>1 (2%)</t>
  </si>
  <si>
    <t>4 (9%)</t>
  </si>
  <si>
    <t>NO</t>
  </si>
  <si>
    <t xml:space="preserve">Patients were stratified by investigators according to FAB and international prognostic scoring system classifications. </t>
  </si>
  <si>
    <t>19 (39%)</t>
  </si>
  <si>
    <t>25 (51%)</t>
  </si>
  <si>
    <t>9.7 (5.4-14.3)</t>
  </si>
  <si>
    <t>46 (94%)</t>
  </si>
  <si>
    <t>40 (82%)</t>
  </si>
  <si>
    <t>8 (16%)</t>
  </si>
  <si>
    <t>13 (11.4%)</t>
  </si>
  <si>
    <t>34 (77%)</t>
  </si>
  <si>
    <t>39 (89%)</t>
  </si>
  <si>
    <t>42 (96%)</t>
  </si>
  <si>
    <t>5 (11%)</t>
  </si>
  <si>
    <t>AZA vs. BSC</t>
  </si>
  <si>
    <t>38 (33%)</t>
  </si>
  <si>
    <t>69 (58%)</t>
  </si>
  <si>
    <t>106 (90%)</t>
  </si>
  <si>
    <t>78 (66%)</t>
  </si>
  <si>
    <t>33 (28%)</t>
  </si>
  <si>
    <t>62 (54%)</t>
  </si>
  <si>
    <t>104 (91%)</t>
  </si>
  <si>
    <t>93 (82%)</t>
  </si>
  <si>
    <t>30 (29%)</t>
  </si>
  <si>
    <t>68 (65%)</t>
  </si>
  <si>
    <t>95 (90%)</t>
  </si>
  <si>
    <t>70 (67%)</t>
  </si>
  <si>
    <t>31 (30%)</t>
  </si>
  <si>
    <t>67 (66%)</t>
  </si>
  <si>
    <t>70 (69%)</t>
  </si>
  <si>
    <t>72 (71%)</t>
  </si>
  <si>
    <t>Azacitidine Prolongs Overall Survival Compared With Conventional Care Regimens in Elderly Patients With Low Bone Marrow Blast Count Acute Myeloid Leukemia</t>
  </si>
  <si>
    <t>P3 RCT, open-label</t>
  </si>
  <si>
    <t xml:space="preserve">AML patients with ≥ 20% BM or peripheral blasts based on central BM review </t>
  </si>
  <si>
    <t xml:space="preserve">Age ≥ 18 years, ECOG PS 0 to 2, estimated life expectancy ≥ 3 months </t>
  </si>
  <si>
    <t>13 (92.9%)</t>
  </si>
  <si>
    <t>14 (100%)</t>
  </si>
  <si>
    <t>24.2 (20.0-34.0)</t>
  </si>
  <si>
    <t>14 (100.0%)</t>
  </si>
  <si>
    <t>9 (64.3%)</t>
  </si>
  <si>
    <t>5 (35.7%)</t>
  </si>
  <si>
    <t>18.4 - Not Reached</t>
  </si>
  <si>
    <t>0.12-1.13</t>
  </si>
  <si>
    <t>OS months: 24.5 vs. 17, HR=0.37, HR CI=0.12-1.13, p=0.08</t>
  </si>
  <si>
    <t>10(18%) / NR(NR)</t>
  </si>
  <si>
    <t>10 (18%)</t>
  </si>
  <si>
    <t>CR/CRi= 10(18%) / NR(NR) vs. 3(15%) / NR(NR)</t>
  </si>
  <si>
    <t>NR(70%)</t>
  </si>
  <si>
    <t>NR(70%) vs. NR(16.7%)</t>
  </si>
  <si>
    <t>10 (71.4%)</t>
  </si>
  <si>
    <t>12 (85.7%)</t>
  </si>
  <si>
    <t>20 (100%)</t>
  </si>
  <si>
    <t>22.0 (20.0-28.0)</t>
  </si>
  <si>
    <t>19 (95.0%)</t>
  </si>
  <si>
    <t>18 (90.0%)</t>
  </si>
  <si>
    <t>1 (5.0%)</t>
  </si>
  <si>
    <t>14.5-25.8</t>
  </si>
  <si>
    <t>3(15%) / NR(NR)</t>
  </si>
  <si>
    <t>3 (15%)</t>
  </si>
  <si>
    <t>NR(16.7%)</t>
  </si>
  <si>
    <t>14 (77.8%)</t>
  </si>
  <si>
    <t>16 (88.9%)</t>
  </si>
  <si>
    <t>18 (100%)</t>
  </si>
  <si>
    <t>Randomized controlled trial of azacitidine in patients with the myelodysplastic syndrome: A study of the cancer and leukemia group B.</t>
  </si>
  <si>
    <t>P3 RCT, masking NR</t>
  </si>
  <si>
    <t>Untreated MDS including AML patients</t>
  </si>
  <si>
    <t>Age &gt; 15, MDS, FAB classification for MDS, therapy-related MDS (cancer free ≥3 years and no radiation or chemotherapy for 6 months), ECOG  ≤ 2, life expectancy ≥2 months, no prior treatment for MDS (except erythropoietin), adequate liver, kidney and lung function</t>
  </si>
  <si>
    <t>38 (38%)</t>
  </si>
  <si>
    <t>54 (54%)</t>
  </si>
  <si>
    <t>9.0 (5.3-14.0)</t>
  </si>
  <si>
    <t>29 (45%)</t>
  </si>
  <si>
    <t>29 (45%) vs. NR</t>
  </si>
  <si>
    <t>NR (70%)</t>
  </si>
  <si>
    <t>NR (59%)</t>
  </si>
  <si>
    <t>EORTC QLQ-C30 and MHI</t>
  </si>
  <si>
    <t>Patients on the Aza C arm experienced significantly greater improvement over time in fatigue (EORTC, P=0.001), physical functioning (EORTC, P=0.002), dyspnea (EORTC, P=0.0014), psychosocial distress (MHI, P=0.015), and positive affect (MHI, P=0.0077) than patients in the supportive care group. Significant differences persisted after controlling for RBC transfusions. Before cross-over, the QOL of patients on supportive care was stable or worsening. After cross-over to Aza C, significant improvements occurred in fatigue (EORTC, P=0.0001), physical functioning (EORTC, P=0.004), dyspnea (EORTC, P=0.0002), and general well-being (MHI, P=0.016).</t>
  </si>
  <si>
    <t>Patients were stratified by FAB subtype and randomly assigned to supportive care or Aza C.</t>
  </si>
  <si>
    <t>28 (31%)</t>
  </si>
  <si>
    <t>57 (62%)</t>
  </si>
  <si>
    <t>9.3 (5.7-14.0)</t>
  </si>
  <si>
    <t xml:space="preserve">Azacitidine  </t>
  </si>
  <si>
    <t>AZA vs. AZA+VOR</t>
  </si>
  <si>
    <t>AML or MDS with poor performance status, comorbidities, other active malignancies or organ dysfunction, not eligible for conventional clinical trials</t>
  </si>
  <si>
    <t>AML or MDS (higher-risk), presence of other malignancy or other comorbidities, either ECOG PS ≥2, creatinine or bilirubin &gt;2mg/dL</t>
  </si>
  <si>
    <t>32 (40.5%)</t>
  </si>
  <si>
    <t>47 (59.5%)</t>
  </si>
  <si>
    <t>Azacitidine  + Vorinostat</t>
  </si>
  <si>
    <t>P2, RCT, expansion study</t>
  </si>
  <si>
    <t>AZA</t>
  </si>
  <si>
    <t>AML or MDS patients who are 18+ years old with poor performance, organ dysfunction, or comorbidity</t>
  </si>
  <si>
    <t>AML or MDS (intermediate or higher-risk), presence of other malignancy or other comorbidities, either ECOG PS ≥2, creatinine or bilirubin &gt;2mg/dL</t>
  </si>
  <si>
    <t>14 (51.9%)</t>
  </si>
  <si>
    <t>13 (48.1%)</t>
  </si>
  <si>
    <t>17% (1-87)</t>
  </si>
  <si>
    <t>9.0 (7.7-12.2)</t>
  </si>
  <si>
    <t>21 (77.8%)</t>
  </si>
  <si>
    <t>2 (14.3%) / 2 (14.3%)</t>
  </si>
  <si>
    <t>CR= 27.8% vs 14.3%</t>
  </si>
  <si>
    <t>7 (3.9%)</t>
  </si>
  <si>
    <t>4 (25.9%)</t>
  </si>
  <si>
    <t>11 (40.7%)</t>
  </si>
  <si>
    <t>18 (34.6%)</t>
  </si>
  <si>
    <t>34 (65.4%)</t>
  </si>
  <si>
    <t>8% (1-89)</t>
  </si>
  <si>
    <t>9.05 (5.8-14.8)</t>
  </si>
  <si>
    <t>45 (86.5%)</t>
  </si>
  <si>
    <t>5 (27.8%) / 2 (11.1%)</t>
  </si>
  <si>
    <t>13 (25.0%)</t>
  </si>
  <si>
    <t>8 (15.4%)</t>
  </si>
  <si>
    <t>23 (44.2%)</t>
  </si>
  <si>
    <t>2 (3.8%)</t>
  </si>
  <si>
    <t>6 (11.5%)</t>
  </si>
  <si>
    <t xml:space="preserve">
AZA-AML trial,
NCT01074047</t>
  </si>
  <si>
    <t>Newly diagnosed AML with Myelodysplasia-related changes</t>
  </si>
  <si>
    <t>&gt;=65 YO newly diagnosed de novo AML with &gt;30% BM blasts, ECOG PS 0–2, intermediate/poor-risk cytogenetics, WBC counts =&lt; 15 × 10^9/L</t>
  </si>
  <si>
    <t>129 (100%)</t>
  </si>
  <si>
    <t>44 (34.1%)</t>
  </si>
  <si>
    <t>65.0% (27-99)</t>
  </si>
  <si>
    <t>94 (72.9%)</t>
  </si>
  <si>
    <t>63 (48.8%)</t>
  </si>
  <si>
    <t>66 (51.2%)</t>
  </si>
  <si>
    <t>6.9-12.9</t>
  </si>
  <si>
    <t>0.57-0.97</t>
  </si>
  <si>
    <t>OS months: 8.9 vs 4.9, HR=0.74, HR CI=0.57-0.97, p=NR</t>
  </si>
  <si>
    <t>25 (19.4%) / 7 (5.4%)</t>
  </si>
  <si>
    <t>CR/CRi= 25 (19.4%) / 7 (5.4%) vs 20 (15.0%) / 3 (2.3%)</t>
  </si>
  <si>
    <t>25 (19.4%)</t>
  </si>
  <si>
    <t>19 (14.8%)</t>
  </si>
  <si>
    <t>29 (22.7%)</t>
  </si>
  <si>
    <t>28 (21.9%)</t>
  </si>
  <si>
    <t>6 (4.7%)</t>
  </si>
  <si>
    <t>33 (25.8%)</t>
  </si>
  <si>
    <t>13 (10.2%)</t>
  </si>
  <si>
    <t>24 (18.8%)</t>
  </si>
  <si>
    <t>31 (24.2%)</t>
  </si>
  <si>
    <t>8 (6.3%)</t>
  </si>
  <si>
    <t>9 (7.0%)</t>
  </si>
  <si>
    <t>EORTC QLQ-C30 Fatigue Domain changed from baseline to EOS (11-12months) for AZA vs. CCR were 8.9 (33.54) and 6.1 (34.19) representatively.
Change in EORTC QLQ-C30 Dyspnea for AZA vs. CCR were 12.6 (31.43) and 6.3 (35.22) representatively.
Change in EORTC QLQ-C30 Physical Functioning Domain for AZA vs. CCR were -13.0 (26.74) and -9.4 (26.43) representatively.
Change in EORTC QLQ-C30 Global Health Status-/Quality of Life Domain for AZA vs. CCR were -4.4 (29.20) and -6.1 (27.90) representatively.</t>
  </si>
  <si>
    <t xml:space="preserve">Randomization was stratified by preselected CCR (BSC, LDAC, or IC), ECOG PS (0-1 or 2), and cytogenetic risk (intermediate or poor). </t>
  </si>
  <si>
    <t>133 (100%)</t>
  </si>
  <si>
    <t>35 (26.3%)</t>
  </si>
  <si>
    <t>70.0% (26-100)</t>
  </si>
  <si>
    <t>9.3 (5.0-14.4)</t>
  </si>
  <si>
    <t>104 (78.2%)</t>
  </si>
  <si>
    <t>61 (45.9%)</t>
  </si>
  <si>
    <t>72 (54.1%)</t>
  </si>
  <si>
    <t>3.8-6.5</t>
  </si>
  <si>
    <t>20 (15.0%) / 3 (2.3%)</t>
  </si>
  <si>
    <t>20 (15.0%)</t>
  </si>
  <si>
    <t>Medeiros_Haematologica_2018</t>
  </si>
  <si>
    <t>Randomized study of continuous high-dose Lenalidomide, sequential Azacitidine and Lenalidomide, or azacitidine in persons 65 years and over with newly-diagnosed acute myeloid leukemia.</t>
  </si>
  <si>
    <t>21 (16.2%)</t>
  </si>
  <si>
    <t>43 (33.1%)</t>
  </si>
  <si>
    <t>25 (19.2%)</t>
  </si>
  <si>
    <t>NCT01358734</t>
  </si>
  <si>
    <t>2 (1.5%)</t>
  </si>
  <si>
    <t>27 (20.8%)</t>
  </si>
  <si>
    <t>9 (6.9%)</t>
  </si>
  <si>
    <t>18 (13.8%)</t>
  </si>
  <si>
    <t>4 (3.1%)</t>
  </si>
  <si>
    <t>24 (18.5%)</t>
  </si>
  <si>
    <t>10 (7.7%)</t>
  </si>
  <si>
    <t>P3 RCT, open-label, sub-group analysis by treatment</t>
  </si>
  <si>
    <t>Newly diagnosed AML with Myelodysplasia-related changes, preselected for LDAC</t>
  </si>
  <si>
    <t>&gt;=65 YO newly diagnosed de novo AML with &gt;30% BM blasts, ECOG PS 0–2, intermediate/poor-risk cytogenetics, WBC counts =&lt; 15 × 10^9/L, preselected for LDAC before randomization</t>
  </si>
  <si>
    <t>81 (100%)</t>
  </si>
  <si>
    <t>32 (39.5%)</t>
  </si>
  <si>
    <t>66.0% (27-99)</t>
  </si>
  <si>
    <t>9.4 (5.0-11.8)</t>
  </si>
  <si>
    <t>56 (69.1%)</t>
  </si>
  <si>
    <t>47 (58.0%)</t>
  </si>
  <si>
    <t>34 (42.0%)</t>
  </si>
  <si>
    <t>Continuous high dose lenalidomide</t>
  </si>
  <si>
    <t>5.9-14.1</t>
  </si>
  <si>
    <t>0.55-1.09</t>
  </si>
  <si>
    <t>OS months: 9.5 vs 4.6, HR=0.77, HR CI=0.55-1.09, p=NR</t>
  </si>
  <si>
    <t>17 (21.0%) / 5 (6.2%)</t>
  </si>
  <si>
    <t>CR/CRi= 17 (21.0%) / 5 (6.2%) vs 10 (12.7%) / 1 (1.3%)</t>
  </si>
  <si>
    <t>17 (21.0%)</t>
  </si>
  <si>
    <t>LDAC</t>
  </si>
  <si>
    <t>79 (100%)</t>
  </si>
  <si>
    <t>20 (25.3%)</t>
  </si>
  <si>
    <t>69.0% (31-100)</t>
  </si>
  <si>
    <t>9.4 (5.6-14.4)</t>
  </si>
  <si>
    <t>64 (81.0%)</t>
  </si>
  <si>
    <t>33 (41.8%)</t>
  </si>
  <si>
    <t>46 (58.2%)</t>
  </si>
  <si>
    <t>RELEVANT RWE DATA: NIC AML</t>
  </si>
  <si>
    <t>3.3-6.4</t>
  </si>
  <si>
    <t>10 (12.7%) / 1 (1.3%)</t>
  </si>
  <si>
    <t>10 (12.7%)</t>
  </si>
  <si>
    <t xml:space="preserve">
AZA-AML 
NCT01074047</t>
  </si>
  <si>
    <t>P3 RCT, sub-group analysis by treatment and age</t>
  </si>
  <si>
    <t>AZA vs. CCR</t>
  </si>
  <si>
    <t>Newly diagnosed AML with Myelodysplasia-related changes, young patients age 65-74</t>
  </si>
  <si>
    <t>Sequential azacitidine + lenalidomide</t>
  </si>
  <si>
    <t xml:space="preserve">De novo AML or sAML, Aged 65-74 years, &gt;30% BM blasts, ECOG PS 0–2, intermediate-or poor-risk cytogenetics, WBC counts ≤15 × 109/L </t>
  </si>
  <si>
    <t>10.8-18.7</t>
  </si>
  <si>
    <t>0.42-0.97</t>
  </si>
  <si>
    <t>OS months 65-74yo: 14.2 vs 7.3, HR=0.64, HR CI=0.42-0.97, p=NR</t>
  </si>
  <si>
    <t>11 (21.1%)/4(7.7%)</t>
  </si>
  <si>
    <t>11 (21.2%)</t>
  </si>
  <si>
    <t>CR/CRi= 11 (21.1%)/4(7.7%) vs. 14(21.9%)/2(3.1%)</t>
  </si>
  <si>
    <t>4.8-11.3</t>
  </si>
  <si>
    <t>14(21.9%)/2(3.1%)</t>
  </si>
  <si>
    <t>14 (21.9%)</t>
  </si>
  <si>
    <t>Rasmussen_HemaS_2018 (abstract)</t>
  </si>
  <si>
    <t>A randomized phase II study of standard dose azacitidine alone or in combination with lenalidomide in high-risk MDS with a karyotype including del(5q).</t>
  </si>
  <si>
    <t>Newly diagnosed AML with Myelodysplasia-related changes, older patients &gt;=75</t>
  </si>
  <si>
    <t xml:space="preserve">De novo AML or sAML, Aged ≥75 years, &gt;30% BM blasts, ECOG PS 0–2, intermediate-or poor-risk cytogenetics, WBC counts ≤15 × 109/L </t>
  </si>
  <si>
    <t>4.5-5.2</t>
  </si>
  <si>
    <t>0.54-1.09</t>
  </si>
  <si>
    <t>OS months: 5.9 vs 3.8, HR=0.77, HR CI=0.54-1.09, p=NR</t>
  </si>
  <si>
    <t>14 (18.2%)/3(3.9%)</t>
  </si>
  <si>
    <t>14 (18.2%)</t>
  </si>
  <si>
    <t>CR/CRi= 14 (18.2%)/3(3.9%) vs. 6 (8.7%)/1 (1.4%)</t>
  </si>
  <si>
    <t>Bone marrow blasts median % (range)</t>
  </si>
  <si>
    <t>2.6-5.1</t>
  </si>
  <si>
    <t>6 (8.7%)/1 (1.4%)</t>
  </si>
  <si>
    <t>Mozessohn_BJH_2018</t>
  </si>
  <si>
    <t>6 (8.7%)</t>
  </si>
  <si>
    <t>Patients with secondary MDS and AML, received previous chemotherapy for non-myeloid malignancy</t>
  </si>
  <si>
    <t>9.0-19.6</t>
  </si>
  <si>
    <t>0.39-1.18</t>
  </si>
  <si>
    <t>OS months: 14.9 vs 5.2, HR=0.68, HR CI=0.39-1.18, p=NR</t>
  </si>
  <si>
    <t>718, (65.2%)</t>
  </si>
  <si>
    <t>7 (26.9%)/3(11.5%)</t>
  </si>
  <si>
    <t>7 (26.9%)</t>
  </si>
  <si>
    <t>CR/CRi= 7 (26.9%)/3(11.5%) vs. 6 (15.8%)/1(2.6%)</t>
  </si>
  <si>
    <t>Secondary, 168 (15.3%)</t>
  </si>
  <si>
    <t>NR (21% - 30%)</t>
  </si>
  <si>
    <t xml:space="preserve">10.7 - 12.4 </t>
  </si>
  <si>
    <t>8.2 - 11.3</t>
  </si>
  <si>
    <t>11.3 - 13.8</t>
  </si>
  <si>
    <t>Lenalidomide+Azacitidine</t>
  </si>
  <si>
    <t>16.7%/NR</t>
  </si>
  <si>
    <t>3.5-10.0</t>
  </si>
  <si>
    <t>Wehmeyer_Oncology_2013 (abstract)</t>
  </si>
  <si>
    <t>Efficacy and safety of azacitidine (vidaza) in patients with myelodysplastic syndromes (MDS, INT-2 or high risk), aml (who 20-30% blasts), or cmmol (10-29% bone marrow blasts without myeloproliferative disorder): First interim analysis of the non-interventional study piaza.</t>
  </si>
  <si>
    <t xml:space="preserve">AML patients with low blast count, and MDS (Int-2 or high risk) and CMML patients </t>
  </si>
  <si>
    <t>6 (15.8%)/1(2.6%)</t>
  </si>
  <si>
    <t>6 (15.8%)</t>
  </si>
  <si>
    <t xml:space="preserve">Primary MDS, 83 (57.2%) 
Secondary MDS, 5 (3.4%)
AML/CMML, 57 (39.3%) </t>
  </si>
  <si>
    <t>NR (20% - 30%)</t>
  </si>
  <si>
    <t>AZA-AML 
NCT01074047</t>
  </si>
  <si>
    <t>Pleyer_JHO_2016</t>
  </si>
  <si>
    <t>Azacitidine front-line in 339 patients with myelodysplastic syndromes and acute myeloid leukaemia: Comparison of French-American-British and World Health Organization classifications.</t>
  </si>
  <si>
    <t>AML patients with low blast count</t>
  </si>
  <si>
    <t>4.5-12.9</t>
  </si>
  <si>
    <t>0.50-1.22</t>
  </si>
  <si>
    <t>OS months: 8.8 vs 4, HR=0.78, HR CI=0.50-1.22, p=NR</t>
  </si>
  <si>
    <t>79, (100%)</t>
  </si>
  <si>
    <t>0, (0%)</t>
  </si>
  <si>
    <t>9.1g/dL (6.3g/dL - 13.4g/dL)</t>
  </si>
  <si>
    <t>55 (69.6%)</t>
  </si>
  <si>
    <t>10 (18.2%)/2(3.6%)</t>
  </si>
  <si>
    <t>10 (18.2%)</t>
  </si>
  <si>
    <t>9.1 cycles</t>
  </si>
  <si>
    <t>CR/CRi= 10 (18.2%)/2(3.6%) vs. 4 (9.8%)/0</t>
  </si>
  <si>
    <t>2.8-6.4</t>
  </si>
  <si>
    <t>RBC 42.1%
PLT 47.1%</t>
  </si>
  <si>
    <t>Bally_LR_2013</t>
  </si>
  <si>
    <t>Azacitidine in the treatment of therapy related myelodysplastic syndrome and acute myeloid leukemia (tMDS/AML): a report on 54 patients by the Groupe Francophone Des Myelodysplasies (GFM).</t>
  </si>
  <si>
    <t>higher risk MDS or AML with low blast count</t>
  </si>
  <si>
    <t>4 (9.8%)/0</t>
  </si>
  <si>
    <t>4 (9.8%)</t>
  </si>
  <si>
    <t>Kenealy_Haema_2019</t>
  </si>
  <si>
    <t>15% (1% - 19%)</t>
  </si>
  <si>
    <t>Azacitidine with or without lenalidomide in higher risk myelodysplastic syndrome &amp; low blast acute myeloid leukemia.</t>
  </si>
  <si>
    <t>one year OS: 36%
two year OS:14%
three year OS: 8%</t>
  </si>
  <si>
    <t>ALLG MDS4; ACTRN 12610000271000</t>
  </si>
  <si>
    <t>14.8%/NR</t>
  </si>
  <si>
    <t>P3 RCT, sub-group analysis (intermediate cytogenetics)</t>
  </si>
  <si>
    <t>AZA Int vs. CCR (IC, LDAC, BSC) Int</t>
  </si>
  <si>
    <t xml:space="preserve">De novo AML or sAML, Aged &gt;=65 years, &gt;30% BM blasts, ECOG PS 0–2, intermediate cytogenetics, WBC counts ≤15 × 109/L </t>
  </si>
  <si>
    <t>Beguin_ACB_2015</t>
  </si>
  <si>
    <t>Safety and efficacy of azacitidine in Belgian patients with high-risk myelodysplastic syndromes, acute myeloid leukaemia, or chronic myelomonocytic leukaemia: results of a real-life, non-interventional post-marketing survey.</t>
  </si>
  <si>
    <t>Retrospective Multicenter</t>
  </si>
  <si>
    <t xml:space="preserve">AML patients with low blast count, and MDS and CMML patients </t>
  </si>
  <si>
    <t>12.9-19.7</t>
  </si>
  <si>
    <t>0.48-1.10</t>
  </si>
  <si>
    <t>34, (69.4%)</t>
  </si>
  <si>
    <t>OS months: 16.4 vs 8.9, HR=0.73, HR CI=0.48-1.10, p=NR</t>
  </si>
  <si>
    <t>NR (20%-30%)</t>
  </si>
  <si>
    <t>34 (69.4%)</t>
  </si>
  <si>
    <t>18 (28.6%)/3 (4.8%)</t>
  </si>
  <si>
    <t>18 (28.6%)</t>
  </si>
  <si>
    <t>CR/CRi= 18 (28.6%)/3 (4.8%) vs. 13 (21.3%)/ 2 (3.3%)</t>
  </si>
  <si>
    <t>5.4-13.7</t>
  </si>
  <si>
    <t>44.4% of AML patients had CR/CRi</t>
  </si>
  <si>
    <t>13 (21.3%)/ 2 (3.3%)</t>
  </si>
  <si>
    <t>13 (21.3%)</t>
  </si>
  <si>
    <t>Capodanno_Hematologica (abstract)</t>
  </si>
  <si>
    <t>5-azacitidine in patients with myelodysplasia and acute myeloid leukemia: A single centre experience.</t>
  </si>
  <si>
    <t>Retrospective Single-center</t>
  </si>
  <si>
    <t>Patients ineligible for other treatment</t>
  </si>
  <si>
    <t>P3 RCT, sub-group analysis (poor cytogenetics)</t>
  </si>
  <si>
    <t xml:space="preserve">6.5 cycles </t>
  </si>
  <si>
    <t>AZA Poor vs. CCR (IC, LDAC, BSC) Poor</t>
  </si>
  <si>
    <t xml:space="preserve">De novo AML or sAML, Aged &gt;=65 years, &gt;30% BM blasts, ECOG PS 0–2, poor cytogenetics, WBC counts ≤15 × 109/L </t>
  </si>
  <si>
    <t xml:space="preserve">In the subgroup of patients who received at least six cycles of therapy, OS was 14 months </t>
  </si>
  <si>
    <t>3.6-7.2</t>
  </si>
  <si>
    <t>0.55-1.11</t>
  </si>
  <si>
    <t>5%/NR</t>
  </si>
  <si>
    <t>5% of AML patients had complete response</t>
  </si>
  <si>
    <t>OS months: 5 vs 3.2, HR=0.79, HR CI=0.55-1.11, p=NR</t>
  </si>
  <si>
    <t>31% of MDS patients had complete response</t>
  </si>
  <si>
    <t>Mozessohn_Blood_2018 (abstract)</t>
  </si>
  <si>
    <t>High Healthcare Utilization and Costs in Patients with Higher-Risk MDS/Low Blast Count AML Treated with Azacitidine in Ontario, Canada</t>
  </si>
  <si>
    <t>Retrospective database</t>
  </si>
  <si>
    <t>7 (10.6%)/ 4(6.1%)</t>
  </si>
  <si>
    <t>7 (10.6%)</t>
  </si>
  <si>
    <t>CR/CRi= 7 (10.6%)/ 4(6.1%) vs. 7 (9.7%)/ 1(1.4%)</t>
  </si>
  <si>
    <t>AML patients with BM blasts 21-30% blasts</t>
  </si>
  <si>
    <t>579 (66.0%)</t>
  </si>
  <si>
    <t>225 (25.7%)</t>
  </si>
  <si>
    <t>652 (74.3%)</t>
  </si>
  <si>
    <t>2.2-4.7</t>
  </si>
  <si>
    <t>7 (9.7%)/ 1(1.4%)</t>
  </si>
  <si>
    <t>7 (9.7%)</t>
  </si>
  <si>
    <t>Fianchi_JHO_2012</t>
  </si>
  <si>
    <t>Outcome of therapy-related myeloid neoplasms treated with azacitidine.</t>
  </si>
  <si>
    <t>AML patients with low/high blast count and MDS patients</t>
  </si>
  <si>
    <t>Patients treated with azacitidine for AML/MDS, previously treatd with chemotherapy and/or radiotherapy for primary maliganacy</t>
  </si>
  <si>
    <t>Secondary, 50 (100%)</t>
  </si>
  <si>
    <t>13% (1% - 90%)</t>
  </si>
  <si>
    <t>46 (92.0%)</t>
  </si>
  <si>
    <t>AZA Int vs. LDAC Int</t>
  </si>
  <si>
    <t>1-53.6</t>
  </si>
  <si>
    <t>8.9-17.6</t>
  </si>
  <si>
    <t>0.54-1.50</t>
  </si>
  <si>
    <t>OS months 65-74yo: 14.1 vs 6.4, HR=0.9, HR CI=0.54-1.50, p=NR</t>
  </si>
  <si>
    <t>Kantarjian_JCO_2012; Dass_VH_2012 (abstract)</t>
  </si>
  <si>
    <t>12 (25.5%)/ 3 (6.4%)</t>
  </si>
  <si>
    <t>DACO-016 (NCT00260832)</t>
  </si>
  <si>
    <t>12 (25.5%)</t>
  </si>
  <si>
    <t>CR/CRi= 12 (25.5%)/ 3 (6.4%) vs. 6 (18.2%)/ 0</t>
  </si>
  <si>
    <t>Prange-Krex_ORT_2017 (abstract)</t>
  </si>
  <si>
    <t>Treatment of AML patients with Azacitidine (Vidaza) in a routine care setting in Germany: Data from an unplanned interim subgroup analysis of the non-interventional observational study on treatment patterns with VIDAZA.</t>
  </si>
  <si>
    <t>AML patients with low/high blast count</t>
  </si>
  <si>
    <t>Elderly, treated with AZA</t>
  </si>
  <si>
    <t>Decitabine</t>
  </si>
  <si>
    <t>25.0% (10% - 90%)</t>
  </si>
  <si>
    <t>Overall surivival is 12.2 months
One-year survival rate is 47.8% (95%CI; 38.1-57.4)</t>
  </si>
  <si>
    <t>3.8-14.2</t>
  </si>
  <si>
    <t>6 (18.2%)/ 0</t>
  </si>
  <si>
    <t>6 (18.2%)</t>
  </si>
  <si>
    <t>van der Helm_Leukemia_2013</t>
  </si>
  <si>
    <t>Azacitidine results in comparable outcome in newly diagnosed AML patients with more or less than 30% bone marrow blasts.</t>
  </si>
  <si>
    <t xml:space="preserve">Newly diagnosed and previously untreated </t>
  </si>
  <si>
    <t>55, (100%)</t>
  </si>
  <si>
    <t>De novo, 34 (62%)
Therapy related, 10 (18%)</t>
  </si>
  <si>
    <t>25% (14% - 85%)</t>
  </si>
  <si>
    <t>46% (NR-NR)</t>
  </si>
  <si>
    <t>AZA SUB Poor vs. LDAC Poor</t>
  </si>
  <si>
    <t>7.8 - 18.0</t>
  </si>
  <si>
    <t>2.2-9.5</t>
  </si>
  <si>
    <t>0.52-1.33</t>
  </si>
  <si>
    <t>OS months: 5.6 vs 3.7, HR=0.83, HR CI=0.52-1.33, p=NR</t>
  </si>
  <si>
    <t>7 (20.6%)/ 5(14.7%)</t>
  </si>
  <si>
    <t>7 (20.6%)</t>
  </si>
  <si>
    <t>CR/CRi= 7 (20.6%)/ 5(14.7%) vs. 5 (10.9%)/ 4 (8.7%)</t>
  </si>
  <si>
    <t xml:space="preserve">23.6% of the patients are in complete remission and 7.3% of patients are in complete remission with incomplete blood count recovery </t>
  </si>
  <si>
    <t>Pleyer_AH_2014</t>
  </si>
  <si>
    <t>Azacitidine in 302 patients with WHO-defined acute myeloid leukemia: results from the Austrian Azacitidine Registry of the AGMT-Study Group</t>
  </si>
  <si>
    <t>AML patients with high/low blast count</t>
  </si>
  <si>
    <t>Treated with azacitidine</t>
  </si>
  <si>
    <t>175, (57.9%)</t>
  </si>
  <si>
    <t>302, (100%)</t>
  </si>
  <si>
    <t>32% (0% - 98%)</t>
  </si>
  <si>
    <t>8.53 - 10.7</t>
  </si>
  <si>
    <t>2.2-5.1</t>
  </si>
  <si>
    <t>17%/NR</t>
  </si>
  <si>
    <t>5 (10.9%)/ 4 (8.7%)</t>
  </si>
  <si>
    <t>5 (10.9%)</t>
  </si>
  <si>
    <t>Delia_LR_2015</t>
  </si>
  <si>
    <t>Azacitidine in the treatment of older patients affected by acute myeloid leukemia: A report by the Rete Ematologica Pugliese (REP).</t>
  </si>
  <si>
    <t>Patients aged over 65 years undergoing AZA as first line treatment</t>
  </si>
  <si>
    <t>90, (100%)</t>
  </si>
  <si>
    <t>35% (20% - 90%)</t>
  </si>
  <si>
    <t>8.4g/dL (5.4g/dL - 9.3g/dL)</t>
  </si>
  <si>
    <t>P2 RCT, open label, multicenter</t>
  </si>
  <si>
    <t>LEN vs. LEN+AZA vs. AZA</t>
  </si>
  <si>
    <t>Newly diagnosed patients ≥65 years with untreated AML</t>
  </si>
  <si>
    <t>AML or MDS (higher-risk), ≥65 years, ECOG PS &lt;=2, adequate renal and liver function</t>
  </si>
  <si>
    <t>12 (100%)</t>
  </si>
  <si>
    <t>56% (22-95)</t>
  </si>
  <si>
    <t>13 (86.7%)</t>
  </si>
  <si>
    <t>11 (73.3%)</t>
  </si>
  <si>
    <t>0.2-0.2</t>
  </si>
  <si>
    <t>OS months:0.2 vs7.1 vs4.1, HR=NR, HR CI = NR, p=NR</t>
  </si>
  <si>
    <t>2 (13.3%)/ 3 (20.0%)</t>
  </si>
  <si>
    <t>CR/CRi= 2 (13.3%)/ 3 (20.0%) vs 11 (28.2%)/ 4 (10.3%) vs 6 (17.6%)/ 8 (23.5%)</t>
  </si>
  <si>
    <t>2 (13.3%)</t>
  </si>
  <si>
    <t>4 (28.6%)</t>
  </si>
  <si>
    <t>6 (42.9%)</t>
  </si>
  <si>
    <t>3 (21.4%)</t>
  </si>
  <si>
    <t>2 (14.3%)</t>
  </si>
  <si>
    <t>Falantes_LL_2018</t>
  </si>
  <si>
    <t>Real life experience with frontline azacitidine in a large series of older adults with acute myeloid leukemia stratified by MRC/LRF score: results from the expanded international E-ALMA series (E-ALMA+).</t>
  </si>
  <si>
    <t>Aged 60 years or over, de novo or secondary AML are included, unfit for intensive chemotherapy regimens</t>
  </si>
  <si>
    <t>Randomization was stratified for performance score (0-1 vs. 2) and levels of blood myeloblasts (&lt;1 vs ≥1×10E+9/L).</t>
  </si>
  <si>
    <t>448, (63.1%)</t>
  </si>
  <si>
    <t>710, (100%)</t>
  </si>
  <si>
    <t>De novo, 312 (44%)
Secondary, 398 (56%)</t>
  </si>
  <si>
    <t>38% (1%–98%)</t>
  </si>
  <si>
    <t>39 (100%)</t>
  </si>
  <si>
    <t>5 (12.8%)</t>
  </si>
  <si>
    <t>37% (12-84)</t>
  </si>
  <si>
    <t>462 (65.0%)</t>
  </si>
  <si>
    <t>32 (82.1%)</t>
  </si>
  <si>
    <t>19 (48.7%)</t>
  </si>
  <si>
    <t>20 (51.3%)</t>
  </si>
  <si>
    <t>29.9 - 36.7</t>
  </si>
  <si>
    <t>1.4-53.3</t>
  </si>
  <si>
    <t>11 (28.2%)/ 4 (10.3%)</t>
  </si>
  <si>
    <t>Wierzbowska_AJH_2018</t>
  </si>
  <si>
    <t>11 (28.2%)</t>
  </si>
  <si>
    <t>Decitabine improves response rate and prolongs progression-free survival in older patients with newly diagnosed acute myeloid leukemia and with monosomal karyotype: A subgroup analysis of the DACO-016 trial.</t>
  </si>
  <si>
    <t>ORR is 35.5%</t>
  </si>
  <si>
    <t xml:space="preserve">10 (26.3%) </t>
  </si>
  <si>
    <t>17 (44.7%)</t>
  </si>
  <si>
    <t>5 (13.2%)</t>
  </si>
  <si>
    <t>12 (31.6%)</t>
  </si>
  <si>
    <t>2 (5.3%)</t>
  </si>
  <si>
    <t>4 (10.5%)</t>
  </si>
  <si>
    <t>Tombak_TJH_2016</t>
  </si>
  <si>
    <t>The Role of Azacitidine in the Treatment of Elderly Patients with Acute Myeloid Leukemia: Results of a Retrospective Multicenter Study.</t>
  </si>
  <si>
    <t>7 (18.4%)</t>
  </si>
  <si>
    <t>Patients 60 years-old or older treated with at least one dose of AZA</t>
  </si>
  <si>
    <t>72, (55.4%)</t>
  </si>
  <si>
    <t>130, (100%)</t>
  </si>
  <si>
    <t>t-AML, 6 (4.6%)
AML-RCA, 9 (6.9%)
AML-MRF, 47 (36.2%)
AML-NOS, 68 (52.3%)</t>
  </si>
  <si>
    <t>49.5% (20% - 97%)</t>
  </si>
  <si>
    <t>8.7g/dL (4.2g/dL -14g/dL)</t>
  </si>
  <si>
    <t xml:space="preserve">9 (10.5%)
</t>
  </si>
  <si>
    <t>10.1 - 14.6</t>
  </si>
  <si>
    <t>34 (100%)</t>
  </si>
  <si>
    <t>5 (14.7%)</t>
  </si>
  <si>
    <t>34% (14-70)</t>
  </si>
  <si>
    <t>27 (79.4%)</t>
  </si>
  <si>
    <t>17 (50.0%)</t>
  </si>
  <si>
    <t>0.2-54.8</t>
  </si>
  <si>
    <t>6 (17.6%)/ 8 (23.5%)</t>
  </si>
  <si>
    <t xml:space="preserve">13.1% of the patients are in complete remission and 6.2% of patients are in complete remission with incomplete blood count recovery </t>
  </si>
  <si>
    <t>6 (17.6%)</t>
  </si>
  <si>
    <t>Atalay_IJHBT_2016</t>
  </si>
  <si>
    <t>8 (25.0%)</t>
  </si>
  <si>
    <t>9 (28.1%)</t>
  </si>
  <si>
    <t>5 (15.6%)</t>
  </si>
  <si>
    <t>11 (34.3%)</t>
  </si>
  <si>
    <t>Low Dose Cytosine Arabinoside and Azacitidine Combination in Elderly Patients with Acute Myeloid Leukemia and Refractory Anemia with Excess Blasts (MDS-RAEB2)</t>
  </si>
  <si>
    <t>1 (3.1%)</t>
  </si>
  <si>
    <t>12 (37.5%)</t>
  </si>
  <si>
    <t>AML patients with high/low blast count and MDS-RAEB2 patients</t>
  </si>
  <si>
    <t>Patients must be above 60 years of age, being a newly diagnosed and no history of prior hemathological disease and received at least four course of azacitidine containing chemotherapy regimen</t>
  </si>
  <si>
    <t>P2 RCT, multicenter</t>
  </si>
  <si>
    <t>LEN+AZA vs. AZA</t>
  </si>
  <si>
    <t>AML (20-29 % blasts) and high-risk MDS (IPSS INT-2 and high) with a karyotype including del(5q)</t>
  </si>
  <si>
    <t>High-risk MDS (IPSS INT-2 and high) and AML with multilineage dysplasia and 20-29 % blasts (previous RAEB-t) with a karyotype including del(5q)</t>
  </si>
  <si>
    <t>15, (55.6 %)</t>
  </si>
  <si>
    <t>19, (70.37%)</t>
  </si>
  <si>
    <t>8, (29.63%)</t>
  </si>
  <si>
    <t>31.430% (9.00%-53.86%)</t>
  </si>
  <si>
    <t>18 (25%)</t>
  </si>
  <si>
    <t>52 (75%)</t>
  </si>
  <si>
    <t>Bories_AJH_2014</t>
  </si>
  <si>
    <t>Intensive chemotherapy, azacitidine, or supportive care in older acute myeloid leukemia patients: an analysis from a regional healthcare network.</t>
  </si>
  <si>
    <t>All registered patients aged 60 years or older diagnosed with an untreated non-M3 AML</t>
  </si>
  <si>
    <t>56 (58.9)</t>
  </si>
  <si>
    <t>95, (100%)</t>
  </si>
  <si>
    <t>34.5% (10%-85%)</t>
  </si>
  <si>
    <t>63 (66.3%)</t>
  </si>
  <si>
    <t>Ramos_Blood_2012 (abstract)</t>
  </si>
  <si>
    <t>Azacitidine as front-line therapy in AML: Results from spanish national registry. Alma study investigators.</t>
  </si>
  <si>
    <t>79 (71.8%)</t>
  </si>
  <si>
    <t>110 (100%)</t>
  </si>
  <si>
    <t>35.0%, (15.0%-98.0%)</t>
  </si>
  <si>
    <t>9.1 g/dL (4.9g/dL -14.2g/dL)</t>
  </si>
  <si>
    <t>77 (70.0%)</t>
  </si>
  <si>
    <t>65 (68.42%)</t>
  </si>
  <si>
    <t>30 (31.58%)</t>
  </si>
  <si>
    <t>8,1</t>
  </si>
  <si>
    <t>5.3 - 10.9</t>
  </si>
  <si>
    <t>P2, RCT, open-label, multicenter</t>
  </si>
  <si>
    <t>Falantes_Blood_2014 (abstract)</t>
  </si>
  <si>
    <t>Azacitidine in older patients with acute myeloid leukemia (AML) and adverse karyotype. Subanalisis from the alma study.</t>
  </si>
  <si>
    <t>AZA vs. AZA+LEN</t>
  </si>
  <si>
    <t>Patients with higher risk MDS, AML (low blast) or  CCML</t>
  </si>
  <si>
    <t>Patients 18 years or older, with either de novo or secondary disease and ECOG 0-2. They must have received no prior chemotherapy for MDS or AML except low dose cytarabine or hydroxyurea and no prior demethylating agent or immunomodulatory drug.</t>
  </si>
  <si>
    <t>60 (75.0%)</t>
  </si>
  <si>
    <t>0: 42 (53%)
1: 41 (51%)</t>
  </si>
  <si>
    <t>Good: 55 (73%)
Interm: 11 (15%)</t>
  </si>
  <si>
    <t>32%, (20%-90%)</t>
  </si>
  <si>
    <t>3 (4%)</t>
  </si>
  <si>
    <t>3.1-8.8</t>
  </si>
  <si>
    <t>55-356</t>
  </si>
  <si>
    <t>167.2 vs. 145.92</t>
  </si>
  <si>
    <t>34 (43%)</t>
  </si>
  <si>
    <t>The only effect of treatment on QLQ-C30 scores during study was a higher rate of diarrhea in LEN+AZA arm</t>
  </si>
  <si>
    <t>Patients were stratified according to IPSS (low-Int1 or Int2-high), by centre and by disease category (MDS, AML or CMML), and randomized 1:1.</t>
  </si>
  <si>
    <t>Azacitidine+ Lenalidomide.</t>
  </si>
  <si>
    <t xml:space="preserve">11 (14%) </t>
  </si>
  <si>
    <t>59 (73.8%)</t>
  </si>
  <si>
    <t>Thepot_AJH_2014</t>
  </si>
  <si>
    <t>Azacitidine in untreated acute myeloid leukemia: a report on 149 patients.</t>
  </si>
  <si>
    <t>Prospective Single-center</t>
  </si>
  <si>
    <t>0: 36 (45%)
1: 33 (41%)</t>
  </si>
  <si>
    <t>Good: 51 (68%)
Interm: 11 (15%)</t>
  </si>
  <si>
    <t>2 (3%)</t>
  </si>
  <si>
    <t>AML patient, previously untreated (i.e., who had received no prior intensive chemotherapy, LDAC, hypomethylating agents, or allogeneic SCT)</t>
  </si>
  <si>
    <t>88 (59.1%)</t>
  </si>
  <si>
    <t>149 (100%)</t>
  </si>
  <si>
    <t>51 (34.2%) / 68 (45.6%)</t>
  </si>
  <si>
    <t>33% (20%-100%)</t>
  </si>
  <si>
    <t>106 (71.1%)</t>
  </si>
  <si>
    <t>84 (60.4%)</t>
  </si>
  <si>
    <t>55 (39.6%)</t>
  </si>
  <si>
    <t>6.5-10.9</t>
  </si>
  <si>
    <t>55-377</t>
  </si>
  <si>
    <t>112-172</t>
  </si>
  <si>
    <t>149 patients had median 145 days (112-172) to CR</t>
  </si>
  <si>
    <t>Van Der Helm_JHO_2013</t>
  </si>
  <si>
    <t>Azacitidine might be beneficial in a subgroup of older AML patients compared to intensive chemotherapy: A single centre retrospective study of 227 consecutive patients.</t>
  </si>
  <si>
    <t>35 (43%)</t>
  </si>
  <si>
    <t>AML patients, &gt;= 60 years</t>
  </si>
  <si>
    <t>17 (65%)</t>
  </si>
  <si>
    <t>26 (100%)</t>
  </si>
  <si>
    <t>13 (50%) / 13 (50%) 25 (</t>
  </si>
  <si>
    <t>27% (20%-88%)</t>
  </si>
  <si>
    <t>18 (69%)</t>
  </si>
  <si>
    <t>8 (31%)</t>
  </si>
  <si>
    <t>91-213</t>
  </si>
  <si>
    <t>26 patients had median 122 days (91-213) to CR</t>
  </si>
  <si>
    <t>Maurillo_AH_2018</t>
  </si>
  <si>
    <t>Comparative analysis of azacitidine and intensive chemotherapy as front-line treatment of elderly patients with acute myeloid leukemia.</t>
  </si>
  <si>
    <t>AML patients, age &gt;= 60 years, ECOG performance status (PS) 0–2 adequate
cardiac, renal and hepatic function, and the absence of uncontrolled
infections</t>
  </si>
  <si>
    <t>32 (36.0%)</t>
  </si>
  <si>
    <t>89 (100%)</t>
  </si>
  <si>
    <t>45 (50.6%) / 44 (49.4%)</t>
  </si>
  <si>
    <t>NR (NR-NR)</t>
  </si>
  <si>
    <t>72 (80.9%)</t>
  </si>
  <si>
    <t>51 (57.3%)</t>
  </si>
  <si>
    <t>18 (20.2%)</t>
  </si>
  <si>
    <t>Multicenter, randomized, open-label, phase III trial of decitabine versus patient choice, with physician advice, of either supportive care or low-dose cytarabine for the treatment of older patients with newly diagnosed acute myeloid leukemia.</t>
  </si>
  <si>
    <t>DEC vs. LDAC</t>
  </si>
  <si>
    <t>Age ≥ 65,  AML (poor- or intermediate-risk cytogenetics), ECOG PS  ≤ 2, WBC count   40,000/mm, bilirubin  ≤ 1.5 of ULN, AST or ALT  ≤ 2.5 of ULN, creatinine clearance 40 mL/min, life expectancy ≥ 12 weeks</t>
  </si>
  <si>
    <t>242 (100%)</t>
  </si>
  <si>
    <t>155 (64.0%)/ 87 (36%)</t>
  </si>
  <si>
    <t>9.3 (5.2-15.0)</t>
  </si>
  <si>
    <t>184 (76.0%)</t>
  </si>
  <si>
    <t>Radujkovic_Blood_2013 (abstract)</t>
  </si>
  <si>
    <t>153 (63.8%)</t>
  </si>
  <si>
    <t>87 (36.1%)</t>
  </si>
  <si>
    <t>Efficacy of azacitidine versus low-dose cytarabine in patients with acute myeloid leukemia-a retrospective single center experience.</t>
  </si>
  <si>
    <t>6.2-9.2</t>
  </si>
  <si>
    <t>0.680-0.990</t>
  </si>
  <si>
    <t>OS months: 7.7 vs. 5, HR=0.82, HR CI=0.680-0.990, p=0.0373</t>
  </si>
  <si>
    <t>AML patients with high blast count</t>
  </si>
  <si>
    <t>38 (15.7%) / 24 (9.9%)</t>
  </si>
  <si>
    <t>38 (15.7%)</t>
  </si>
  <si>
    <t>CR/CRi= 38 (15.7%) / 24 (9.9%) vs. 17 (7.9%) /  6 (2.8%)</t>
  </si>
  <si>
    <t>3.8-5.1</t>
  </si>
  <si>
    <t>4.3 vs. 3.7</t>
  </si>
  <si>
    <t>Platelete: 26 (31%) / RBC: 44 (26%)</t>
  </si>
  <si>
    <t>27 (100%)</t>
  </si>
  <si>
    <t>Platelete: 26 (31%) / RBC: 44 (26%) vs. Platelete: 11 (13%) / RBC: 21 (13%)</t>
  </si>
  <si>
    <t>44% (NR-NR)</t>
  </si>
  <si>
    <t>80 (34%)</t>
  </si>
  <si>
    <t>76 (32%)</t>
  </si>
  <si>
    <t>95 (40%)</t>
  </si>
  <si>
    <t>24 (10%)</t>
  </si>
  <si>
    <t>51 (21%)</t>
  </si>
  <si>
    <t>16 (7%)</t>
  </si>
  <si>
    <t>0.67-2.40</t>
  </si>
  <si>
    <t>OS HR for AZA vs LDAC is 1.27, HR CI=0.67-2.40, p-value=0.46</t>
  </si>
  <si>
    <t>47 (20%)</t>
  </si>
  <si>
    <t>27 (11%)</t>
  </si>
  <si>
    <t>Random assignment was stratified by age, cytogenetic risk, and ECOG PS</t>
  </si>
  <si>
    <t>215 (100%)</t>
  </si>
  <si>
    <t>140 (65.1%)/ 73 (34.0%)</t>
  </si>
  <si>
    <t>9.4 (5.0-12.6)</t>
  </si>
  <si>
    <t>164 (76.3%)</t>
  </si>
  <si>
    <t>135 (63.1%)</t>
  </si>
  <si>
    <t>79 (36.9%)</t>
  </si>
  <si>
    <t>4.3-6.3</t>
  </si>
  <si>
    <t>17 (7.9%) /  6 (2.8%)</t>
  </si>
  <si>
    <t>17 (7.9%)</t>
  </si>
  <si>
    <t>38 (100%)</t>
  </si>
  <si>
    <t>60% (NR-NR)</t>
  </si>
  <si>
    <t>2.8-4.6</t>
  </si>
  <si>
    <t>Platelete: 11 (13%) / RBC: 21 (13%)</t>
  </si>
  <si>
    <t>56 (27%)</t>
  </si>
  <si>
    <t>51 (25%)</t>
  </si>
  <si>
    <t>41 (20%)</t>
  </si>
  <si>
    <t>73 (35%)</t>
  </si>
  <si>
    <t>17 (8%)</t>
  </si>
  <si>
    <t>39 (19%)</t>
  </si>
  <si>
    <t>11 (5%)</t>
  </si>
  <si>
    <t>20 (10%)</t>
  </si>
  <si>
    <t>19 (9%)</t>
  </si>
  <si>
    <t>DACO-016
NCT00260832
Subgroup analysis</t>
  </si>
  <si>
    <t>P3 RCT, open-label, multicenter, sub-group (monosomal karyotype-positive)</t>
  </si>
  <si>
    <t>Previously untreated, newly diagnosed de novo or secondary AML ( ≥20% blasts), monosomal karyotype-positive</t>
  </si>
  <si>
    <t>Low-dose decitabine versus best supportive care in elderly patients with intermediate- or high-risk myelodysplastic syndrome (MDS) ineligible for intensive chemotherapy: final results of the randomized phase III study of the European Organisation for Research and Treatment of Cancer Leukemia Group and the German MDS Study Group.</t>
  </si>
  <si>
    <t>33 (100%)</t>
  </si>
  <si>
    <t>18 (55%) / 15 (45%)</t>
  </si>
  <si>
    <t>44.0% (10-84%)</t>
  </si>
  <si>
    <t>9.2 (6.9-13.4)</t>
  </si>
  <si>
    <t>Study 06011</t>
  </si>
  <si>
    <t>21 (64%)</t>
  </si>
  <si>
    <t>111, (100%)</t>
  </si>
  <si>
    <t>NR (30%-NR)</t>
  </si>
  <si>
    <t>9.1g/dL (5.8g/dL - 14.2g/dL)</t>
  </si>
  <si>
    <t>75 (67.6%)</t>
  </si>
  <si>
    <t>3.4-7.9</t>
  </si>
  <si>
    <t>8.5 cycles</t>
  </si>
  <si>
    <t>0.39-1.15</t>
  </si>
  <si>
    <t>OS months: 6.3 vs. 2.6, HR=0.67, HR CI=0.39-1.15, p=0.141</t>
  </si>
  <si>
    <t>6 (18%) / 3 (9%)</t>
  </si>
  <si>
    <t>6 (18%)</t>
  </si>
  <si>
    <t>CR/CRi= 6 (18%) / 3 (9%) vs. 0  (0%) / 1 (3%)</t>
  </si>
  <si>
    <t>Decitabine + Best Supportive Care</t>
  </si>
  <si>
    <t>RBC 43.6%
PLT 38.7%</t>
  </si>
  <si>
    <t>31 (100%)</t>
  </si>
  <si>
    <t>17 (57%) / 13 (43%)</t>
  </si>
  <si>
    <t>38.5% (0-94%)</t>
  </si>
  <si>
    <t>9.3 (7.5-11.1)</t>
  </si>
  <si>
    <t>18 (58%)</t>
  </si>
  <si>
    <t>1.2-3.8</t>
  </si>
  <si>
    <t>0  (0%) / 1 (3%)</t>
  </si>
  <si>
    <t>P3 RCT, open-label, multicenter, sub-group (monosomal karyotype-negative)</t>
  </si>
  <si>
    <t>Previously untreated, newly diagnosed de novo or secondary AML ( ≥20% blasts), monosomal karyotype-negative</t>
  </si>
  <si>
    <t>49 (100%)</t>
  </si>
  <si>
    <t>30 (61%) / 19 (39%)</t>
  </si>
  <si>
    <t>53.0% (20-94%)</t>
  </si>
  <si>
    <t>9.25 (6.4-13.9)</t>
  </si>
  <si>
    <t>39 (79%)</t>
  </si>
  <si>
    <t>5.0</t>
  </si>
  <si>
    <t>2.9-7.0</t>
  </si>
  <si>
    <t>0.72-1.70</t>
  </si>
  <si>
    <t>OS months: 5.0 vs. 4.7, HR=1.11, HR CI=0.72-1.70, p=0.6336</t>
  </si>
  <si>
    <t>4 (8%) / 5 (10%)</t>
  </si>
  <si>
    <t>4 (8%)</t>
  </si>
  <si>
    <t>CR/CRi= 4 (8%) / 5 (10%) vs. 5 (10%) / 0 (0%)</t>
  </si>
  <si>
    <t>50 (100%)</t>
  </si>
  <si>
    <t>28 (56%) / 22 (44%)</t>
  </si>
  <si>
    <t>48.0% (17-97%)</t>
  </si>
  <si>
    <t>9.1 (5.6-12.6)</t>
  </si>
  <si>
    <t>37 (74%)</t>
  </si>
  <si>
    <t>2.9-7.5</t>
  </si>
  <si>
    <t>5 (10%) / 0 (0%)</t>
  </si>
  <si>
    <t>5 (10%)</t>
  </si>
  <si>
    <t>P3 RCT, masking NR, multicenter</t>
  </si>
  <si>
    <t>DEC+BSC vs. BSC</t>
  </si>
  <si>
    <t>Intermediate-1 or 2 or high-risk MDS, ineligible for intensive chemotherapy including AML patients</t>
  </si>
  <si>
    <t>Age ≥60, primary or treatment related MDS or CML irrespective of WBC counts, intermediate-1 or 2 or high-risk, bone marrow blasts of 11% to 30% or 10% and poor cytogenetics (IPSS); ECOG PS  ≤ 2, ineligible for intensive treatment</t>
  </si>
  <si>
    <t>41 (34.4%)</t>
  </si>
  <si>
    <t>105 (88.3%)</t>
  </si>
  <si>
    <t>47 (39.5%)</t>
  </si>
  <si>
    <t>57 (47.9%)</t>
  </si>
  <si>
    <t>176.32 vs. NR</t>
  </si>
  <si>
    <t>29 (25.4%)</t>
  </si>
  <si>
    <t>54 (47.4%)</t>
  </si>
  <si>
    <t>2 (1.8%)</t>
  </si>
  <si>
    <t>10 (8.8%)</t>
  </si>
  <si>
    <t>4 (3.5%)</t>
  </si>
  <si>
    <t>66 (57.9%)</t>
  </si>
  <si>
    <t>Patients on the decitabine arm showed a significant improvement in their self-reported fatigue and physical functioning, with borderline improvement of global health status, whereas no apparent effect was seen on dyspnea. Supportive analyses revealed that for most other QOL scales, the trend was also in favor of decitabine.</t>
  </si>
  <si>
    <t>Patients were centrally randomly assigned at the EORTC Data Center, with stratification by IPSS cytogenetics, IPSS risk, MDS type, and institution.</t>
  </si>
  <si>
    <t>36 (31.6%)</t>
  </si>
  <si>
    <t>74 (64.9%)</t>
  </si>
  <si>
    <t>97 (85.1%)</t>
  </si>
  <si>
    <t>46 (40.3%)</t>
  </si>
  <si>
    <t>51 (44.7%)</t>
  </si>
  <si>
    <t>8 (7.1%)</t>
  </si>
  <si>
    <t>40 (35%)</t>
  </si>
  <si>
    <t>1 (0.9%)</t>
  </si>
  <si>
    <t>16 (14%)</t>
  </si>
  <si>
    <t>5 (4.4%)</t>
  </si>
  <si>
    <t>Lubbert_AHC_2017 (Abstract)</t>
  </si>
  <si>
    <t>57 (50%)</t>
  </si>
  <si>
    <t>Results of the decider trial (AMLSG 14-09) comparing decitabine (DAC) with or without valproic acid (VPA) and with or without ATRA in newly diagnosed elderly non-fit AML patients</t>
  </si>
  <si>
    <t>DECIDER (NCT00867672, AMLSG 14-09)</t>
  </si>
  <si>
    <t>DEC vs. DEC+VA vs. DEC+ATRA vs. DEC+VA+ATRA</t>
  </si>
  <si>
    <t>Newly diagnosed elderly non-fit AML patients</t>
  </si>
  <si>
    <t>Age&gt; 60 years, primary or secondary AML, not eligible for standard remission-induction chemotherapy, Patients with &lt; 30 000 leukocytes/μl, ECOG PS  ≤2, Creatinine &lt; 2.0 mg/dL</t>
  </si>
  <si>
    <t>163 (80%)</t>
  </si>
  <si>
    <t>Effect on OS of VPA vs no VPA  OS months: 6.2 vs 6.4, HR=0.94, HR CI=0.70,1.28, p = 0.70
Effect on OS of ATRA vs no ATRA OS months: 8.2 vs 5.1, HR=0.65, HR CI=0.48,0.88, p = 0.006</t>
  </si>
  <si>
    <t>CR+CRi= 8.5% vs. 17.5% vs. 26.1% vs. 18%</t>
  </si>
  <si>
    <t>Center-stratified block randomization with randomly varying block size is performed based on computer-generated lists</t>
  </si>
  <si>
    <t>Decitabine + Valproic acid</t>
  </si>
  <si>
    <t>Decitabine + ATRA</t>
  </si>
  <si>
    <t xml:space="preserve">Decitabine + Valproic acid + ATRA </t>
  </si>
  <si>
    <t>Liu_Blood_2012 (Abstract)</t>
  </si>
  <si>
    <t>Comparative efficacy of homoharringtonine plus cytarabine and decitabine in patients with MDS/AML</t>
  </si>
  <si>
    <t>Phase NR RCT, masking NR</t>
  </si>
  <si>
    <t>Cytarabine + Homoharringtonine</t>
  </si>
  <si>
    <t>CYT+HA vs. DEC</t>
  </si>
  <si>
    <t>MDS and AML patients</t>
  </si>
  <si>
    <t>Short_LH_2019</t>
  </si>
  <si>
    <t>Treatment with a 5-day versus a 10-day schedule of decitabine in older patients with newly diagnosed acute myeloid leukaemia: a randomised phase 2 trial.</t>
  </si>
  <si>
    <t>NCT01786343</t>
  </si>
  <si>
    <t>P2 RCT, open-label, single center</t>
  </si>
  <si>
    <t>DEC (5d) vs. DEC (10d)</t>
  </si>
  <si>
    <t>Newly diagnosed untreated AML ineligible to intensive chemotherapy</t>
  </si>
  <si>
    <t>Patients who are  aged 60 years or older with newly diagnosed AML (&gt;=20% myeloblasts) except acute promyelocytic leukaemia, unsuitable for intensive chemotherapy, ECOG PS 0-3</t>
  </si>
  <si>
    <t>28 (100%)</t>
  </si>
  <si>
    <t>40.0% (29-68%)</t>
  </si>
  <si>
    <t>9.4 (8.7-9.8)</t>
  </si>
  <si>
    <t>18 (64%)</t>
  </si>
  <si>
    <t>0.488-1.392</t>
  </si>
  <si>
    <t>OS months: 5.5 vs. 6.0, HR=0.824, HR CI=0.488-1.392, p=0.47</t>
  </si>
  <si>
    <t>9 (33%)</t>
  </si>
  <si>
    <t>CR/CRi= 9 (33%) vs. 15 (35%)</t>
  </si>
  <si>
    <t>10 vs. 20</t>
  </si>
  <si>
    <t>1 (4%)</t>
  </si>
  <si>
    <t>2 (7%)</t>
  </si>
  <si>
    <t>6 (21.4%)</t>
  </si>
  <si>
    <t>43 (100%)</t>
  </si>
  <si>
    <t>46% (25-64%)</t>
  </si>
  <si>
    <t>9.2 (9.0-9.7)</t>
  </si>
  <si>
    <t>30 (70%)</t>
  </si>
  <si>
    <t>6.0</t>
  </si>
  <si>
    <t>15 (35%)</t>
  </si>
  <si>
    <t>2 (5%)</t>
  </si>
  <si>
    <t>22 (51.2%)</t>
  </si>
  <si>
    <t>Roboz_BA_2018</t>
  </si>
  <si>
    <t>Randomized trial of 10 days of decitabine 6 bortezomib in untreated older patients with AML: CALGB 11002 (Alliance).</t>
  </si>
  <si>
    <t>CALGB 11002 (Alliance)
NCT01420926</t>
  </si>
  <si>
    <t>Decitabine + Bortezomib</t>
  </si>
  <si>
    <t>Newly diagnosed AML aged 60 or older</t>
  </si>
  <si>
    <t>Newly diagnosed AML (&gt;= 20% blasts), previously untreated,  &gt;=60 years, no FLT3 mutation unless aged &gt;=75 years old or older and/or ECOG PS &gt; 2</t>
  </si>
  <si>
    <t>20 (24.7%)</t>
  </si>
  <si>
    <t>53 (65.4%) / 28 (34.6%)</t>
  </si>
  <si>
    <t>59 (85.2%)</t>
  </si>
  <si>
    <t xml:space="preserve">3.8-14.3 </t>
  </si>
  <si>
    <t>0.84-1.63</t>
  </si>
  <si>
    <t>OS months: 8.9 vs. 9.3, HR=1.17, HR CI=0.84-1.63, p=NR</t>
  </si>
  <si>
    <t>31 (38.3%)</t>
  </si>
  <si>
    <t>70.0</t>
  </si>
  <si>
    <t>6-1724</t>
  </si>
  <si>
    <t>70.0 vs 109.5  vs CR/CRi/MLFS= 60.8</t>
  </si>
  <si>
    <t>80 (100%)</t>
  </si>
  <si>
    <t>16 (19.8%)</t>
  </si>
  <si>
    <t>11 (13.6%)</t>
  </si>
  <si>
    <t>22 (27.6%)</t>
  </si>
  <si>
    <t>13 (16.3%)</t>
  </si>
  <si>
    <t>82 (100%)</t>
  </si>
  <si>
    <t>15 (18.3%)</t>
  </si>
  <si>
    <t>57 (69.5%) / 25 (30.5%)</t>
  </si>
  <si>
    <t>63 (76.8%)</t>
  </si>
  <si>
    <t>5.8-12.2</t>
  </si>
  <si>
    <t>32 (39.0%)</t>
  </si>
  <si>
    <t>27-523</t>
  </si>
  <si>
    <t>12 (15%)</t>
  </si>
  <si>
    <t>9 (11.3%)</t>
  </si>
  <si>
    <t>28 (34.5%)</t>
  </si>
  <si>
    <t>13 (16.0%)</t>
  </si>
  <si>
    <t>Feng_Haema_2016 (Abstract)</t>
  </si>
  <si>
    <t>Efficacy and safety of etoposide in combination with G-CSF, low-dose cytarabine and aclarubicin in newly diagnosed elderly patients with acute myeloid leukemia</t>
  </si>
  <si>
    <t>P2 RCT, open-label, multicenter</t>
  </si>
  <si>
    <t>Etoposide + Low-dose cytarabine + Aclarubicin + G-CSF</t>
  </si>
  <si>
    <t xml:space="preserve">ETO + LDAC + Aclarubicin + G-CSF vs. DA  </t>
  </si>
  <si>
    <t>Elderly patients with newly diagnosed AML</t>
  </si>
  <si>
    <t>OS months: 14.3 vs. 10.3, HR=NR, HR CI=NR, p=NR</t>
  </si>
  <si>
    <t>55.1% / NR</t>
  </si>
  <si>
    <t>CR/CRi= 55.1% / NR vs. 48.9% / NR</t>
  </si>
  <si>
    <t>Daunorubicin + Cytarabine</t>
  </si>
  <si>
    <t>48.9% / NR</t>
  </si>
  <si>
    <t>Kantarjian_Cancer_2013</t>
  </si>
  <si>
    <t>Stage I of a phase 2 study assessing the efficacy, safety, and tolerability of barasertib (AZD1152) versus low-dose cytosine arabinoside in elderly patients with acute myeloid leukemia</t>
  </si>
  <si>
    <t>NCT00952588 (Stage I results)</t>
  </si>
  <si>
    <t>P2 RCT, open-label, 2-stage</t>
  </si>
  <si>
    <t>Barasertib</t>
  </si>
  <si>
    <t>BAR vs. LDAC</t>
  </si>
  <si>
    <t>Elderly patients aged &gt;=60 years with acute myeloid leukemia (AML)</t>
  </si>
  <si>
    <t>Age ≥60 years with newly diagnosed de novo or secondary AML, ECOG PS 0-3,  unsuitable for intensive induction with anthracycline-based chemotherapy, no acute promyelocytic leukemia or  blast crisis of chronic myeloid leukemia</t>
  </si>
  <si>
    <t>51 (100%)</t>
  </si>
  <si>
    <t>24 (47%) / 27 (53%)</t>
  </si>
  <si>
    <t>36 (70.6%)</t>
  </si>
  <si>
    <t>27  (75.0%)</t>
  </si>
  <si>
    <t>9 (25.0%)</t>
  </si>
  <si>
    <t>0.49-1.58</t>
  </si>
  <si>
    <t>OS months: 8.2 vs. 4.5, HR=0.88, HR CI=0.49-1.58, p=0.663</t>
  </si>
  <si>
    <t>12 (25.0%) / 5 (10.4%)</t>
  </si>
  <si>
    <t>12 (25.0%)</t>
  </si>
  <si>
    <t>CR/CRi= 12 (25.0%) / 5 (10.4%) vs. 1  (3.8%) / 2 (7.6%)</t>
  </si>
  <si>
    <t>27-180</t>
  </si>
  <si>
    <t>59 vs. 64</t>
  </si>
  <si>
    <t>7 (14.6%)</t>
  </si>
  <si>
    <t>24 (50%)</t>
  </si>
  <si>
    <t>1 (2.1%)</t>
  </si>
  <si>
    <t>2 (4.2%)</t>
  </si>
  <si>
    <t>11 (22.9%)</t>
  </si>
  <si>
    <t>4 (8.3%)</t>
  </si>
  <si>
    <t>6 (12.5%)</t>
  </si>
  <si>
    <t>18 (69.2%)</t>
  </si>
  <si>
    <t>11 (42%) / 15 (58%)</t>
  </si>
  <si>
    <t>14 (63.6%)</t>
  </si>
  <si>
    <t>8 (36.0%)</t>
  </si>
  <si>
    <t>1  (3.8%) / 2 (7.6%)</t>
  </si>
  <si>
    <t>1  (3.8%)</t>
  </si>
  <si>
    <t>63-96</t>
  </si>
  <si>
    <t>4 (15.4%)</t>
  </si>
  <si>
    <t>5 (19.2%)</t>
  </si>
  <si>
    <t>2 (7.7%)</t>
  </si>
  <si>
    <t>1 (3.8%)</t>
  </si>
  <si>
    <t>Burnett_Blood_2013</t>
  </si>
  <si>
    <t>Clofarabine doubles the response rate in older patients with acute myeloid leukemia but does not improve survival</t>
  </si>
  <si>
    <t>AML16 trial; ISRCTN 11036523</t>
  </si>
  <si>
    <t>Phase NR RCT, masking NR, multi center</t>
  </si>
  <si>
    <t>LDAC vs. CLO</t>
  </si>
  <si>
    <t>Older patients with AML or high-risk MDS not considered fit for intensive chemotherapy</t>
  </si>
  <si>
    <t>AML (de novo or secondary), high-risk MDS, renal function test within ULN</t>
  </si>
  <si>
    <t>176 (85.4%)</t>
  </si>
  <si>
    <t>30 (14.6%)</t>
  </si>
  <si>
    <t>126 (61.2%) / 50 (24.3%)</t>
  </si>
  <si>
    <t>181 (87.9%)</t>
  </si>
  <si>
    <t>87 (72.5%)</t>
  </si>
  <si>
    <t>33 (27.5%)</t>
  </si>
  <si>
    <t>34 (19.3%)</t>
  </si>
  <si>
    <t>CR+CRi= 34 (19.3%) vs. 63 (37.3%)</t>
  </si>
  <si>
    <t>113 vs. 68</t>
  </si>
  <si>
    <t>The randomisations — and subsidiary data analyses — will be stratified by age (&lt;60, 60-64, 65-69, 70-74, 75+), performance status, white blood count (0-9.9, 10-49.9, 50-99.9, 100+) and type of disease (de novo AML, secondary AML, high risk MDS)</t>
  </si>
  <si>
    <t>Clofarabine</t>
  </si>
  <si>
    <t>171 (85.5%)</t>
  </si>
  <si>
    <t>29 (14.5%)</t>
  </si>
  <si>
    <t>124 (62.0%) / 47 (23.5%)</t>
  </si>
  <si>
    <t>172 (86.0%)</t>
  </si>
  <si>
    <t>95 (75.4%)</t>
  </si>
  <si>
    <t>31 (24.6%)</t>
  </si>
  <si>
    <t>63 (37.3%)</t>
  </si>
  <si>
    <t>Faderl_Blood_2008</t>
  </si>
  <si>
    <t>A randomized study of clofarabine versus clofarabine plus low-dose cytarabine as front-line therapy for patients aged 60 years and older with acute myeloid leukemia and high-risk myelodysplastic syndrome</t>
  </si>
  <si>
    <t>NCT00088218</t>
  </si>
  <si>
    <t>P2 RCT, open label</t>
  </si>
  <si>
    <t>CLO vs. CLO+LDAC</t>
  </si>
  <si>
    <t>Patients aged 60 years and older with AML and high-risk MDS</t>
  </si>
  <si>
    <t>Age ≥60, diagnosed of AML, ECOG PS  ≤2, adequate hepatorenal function, NYHAC &lt;3</t>
  </si>
  <si>
    <t>16 (100%)</t>
  </si>
  <si>
    <t>9 (56.3%) / 7 (43.7%)</t>
  </si>
  <si>
    <t>11 (68.8%)</t>
  </si>
  <si>
    <t>5 (31.3%)</t>
  </si>
  <si>
    <t>OS months: 11.4 vs. 5.8, HR=NR, HR CI=NR, p=0.1</t>
  </si>
  <si>
    <t>5 (31%) / 0 (0%)</t>
  </si>
  <si>
    <t>5 (31%)</t>
  </si>
  <si>
    <t>CR/CRi= 5 (31%) / 0 (0%) vs. 34 (63%) / 2 (4%)</t>
  </si>
  <si>
    <t>25-124</t>
  </si>
  <si>
    <t>34 vs. 34</t>
  </si>
  <si>
    <t>Patients were adaptively randomized without stratification factors.</t>
  </si>
  <si>
    <t>Clofarabine + low-dose cytarabine</t>
  </si>
  <si>
    <t>50 (92%)</t>
  </si>
  <si>
    <t>2 (4%)</t>
  </si>
  <si>
    <t>26 (48.1%) / 28 (51.9%)</t>
  </si>
  <si>
    <t>54 (100%)</t>
  </si>
  <si>
    <t>34 (63.0%)</t>
  </si>
  <si>
    <t>20 (37.0%)</t>
  </si>
  <si>
    <t>34 (63%) / 2 (4%)</t>
  </si>
  <si>
    <t>34 (63%)</t>
  </si>
  <si>
    <t>1 (1.9%)</t>
  </si>
  <si>
    <t>3 (5.6%)</t>
  </si>
  <si>
    <t>Abu-Taleb_EJC_2013 (Abstract)</t>
  </si>
  <si>
    <t>Low dose cytarabine with or without anthracycline in the induction treatment of elderly patients with acute myeloid leukemia</t>
  </si>
  <si>
    <t>LDAC vs. DOX+LDAC</t>
  </si>
  <si>
    <t>Elderly patients with acute myeloid leukemia</t>
  </si>
  <si>
    <t>45 (100%)</t>
  </si>
  <si>
    <t>45 (100%) / 0 (0%)</t>
  </si>
  <si>
    <t>OS months: 6 vs. 9, HR=NR, HR CI=NR, p=NR</t>
  </si>
  <si>
    <t>4.4% / NR</t>
  </si>
  <si>
    <t>CR/CRi= 4.4% / NR vs. 15.6% / NR</t>
  </si>
  <si>
    <t>24 (53.3%)</t>
  </si>
  <si>
    <t>Doxorubicin + low-dose cytarabine</t>
  </si>
  <si>
    <t>15.6% / NR</t>
  </si>
  <si>
    <t>8 (17.7%)</t>
  </si>
  <si>
    <t>Burnett_Leukemia_2013</t>
  </si>
  <si>
    <t>LRF AML14, NCRI AML16</t>
  </si>
  <si>
    <t>Phase NR, RCT, open-label</t>
  </si>
  <si>
    <t>Low Dose Cytarabine</t>
  </si>
  <si>
    <t>LDAC vs. GO+LDAC</t>
  </si>
  <si>
    <t>Older patients with AML</t>
  </si>
  <si>
    <t xml:space="preserve">De novo or secondary AML (no acute promyelocytic leukaemia) or MDS (&gt; 10% myeloblasts in the bone marrow), age &gt; 60 (allowed younger patients if intensive chemotherapy is not suitable)
</t>
  </si>
  <si>
    <t>216 (87.9%)</t>
  </si>
  <si>
    <t>30 (12.1%)</t>
  </si>
  <si>
    <t>162 (65.9%) / 54 (22.0%)</t>
  </si>
  <si>
    <t>218 (88.6%)</t>
  </si>
  <si>
    <t>120 (68.2%)</t>
  </si>
  <si>
    <t>56 (31.8%)</t>
  </si>
  <si>
    <t>NR (3%)</t>
  </si>
  <si>
    <t>Gemtuzumab Ozogamicin + Low Dose Cytarabine</t>
  </si>
  <si>
    <t>214 (86%)</t>
  </si>
  <si>
    <t>35 (14%)</t>
  </si>
  <si>
    <t>163 (65.5%) / 51 (20.5%)</t>
  </si>
  <si>
    <t>220 (88.4%)</t>
  </si>
  <si>
    <t>112 (70.9%)</t>
  </si>
  <si>
    <t>46 (29.1%)</t>
  </si>
  <si>
    <t>NR (6%)</t>
  </si>
  <si>
    <t>NR (4%)</t>
  </si>
  <si>
    <t>Burnett_Cancer_2007</t>
  </si>
  <si>
    <t>A comparison of low-dose cytarabine and hydroxyurea with or without all-trans retinoic acid for acute myeloid leukemia and high-risk myelodysplastic syndrome in patients not considered fit for intensive treatment</t>
  </si>
  <si>
    <t>National Cancer Research Institute Acute Myeloid Leukemia 14 Trial</t>
  </si>
  <si>
    <t>LDAC vs. HU</t>
  </si>
  <si>
    <t>AML and high-risk MDS in patients not considered fit for intensive treatment</t>
  </si>
  <si>
    <t>Age ≥ 60, AML (de novo or secondary), high-risk MDS (defined as &gt;10% bone marrow blasts), not fit for intensive treatment</t>
  </si>
  <si>
    <t>89 (86.4%)</t>
  </si>
  <si>
    <t>14 (13.6%)</t>
  </si>
  <si>
    <t>61 (59.2%) / 28 (27.1%)</t>
  </si>
  <si>
    <t>71 (68.9%)</t>
  </si>
  <si>
    <t>56 (76.7%)</t>
  </si>
  <si>
    <t>17 (23.3%)</t>
  </si>
  <si>
    <t>50-313</t>
  </si>
  <si>
    <t>NR (10%)</t>
  </si>
  <si>
    <t>NR (45%)</t>
  </si>
  <si>
    <t>Hydroxyurea</t>
  </si>
  <si>
    <t>85 (85.9%)</t>
  </si>
  <si>
    <t>14 (14.1%)</t>
  </si>
  <si>
    <t>60 (60.6%) / 25 (25.2%)</t>
  </si>
  <si>
    <t>70 (70.7%)</t>
  </si>
  <si>
    <t>53 (68.8%)</t>
  </si>
  <si>
    <t>24 (31.2%)</t>
  </si>
  <si>
    <t>NR (21.1%)</t>
  </si>
  <si>
    <t>Zwierzina_Leukemia_2005</t>
  </si>
  <si>
    <t>Low-dose cytosine arabinoside (LD-AraC) vs LD-AraC plus granulocyte/macrophage colony stimulating factor vs LD-AraC plus Interleukin-3 for myelodysplastic syndrome patients with a high risk of developing acute leukemia: final results of a randomized phase III study (06903) of the EORTC Leukemia Cooperative Group.</t>
  </si>
  <si>
    <t>06903 Trial</t>
  </si>
  <si>
    <t xml:space="preserve">P3 RCT, open label, multicenter </t>
  </si>
  <si>
    <t>LDAC vs. LDAC+GM-CSF vs. LDAC+IL-3</t>
  </si>
  <si>
    <t>MDS patients with a high risk of developing acute leukemia</t>
  </si>
  <si>
    <t>MDS (10-30% of blasts in the bone marrow aspirate), ECOG PS  ≤ 2, 15 &lt; age &lt;80, at least one of the following: transfusion-dependent anemia (more than two units of packed red blood cells within 6 weeks of observation), severe thrombocytopenia (less than 50 109/l), severe neutropenia (absolute neutrophil count (ANC) less than 0.5 109/l or 1 109/l in the presence of a history of infections)</t>
  </si>
  <si>
    <t>26 (44.1%)</t>
  </si>
  <si>
    <t>33 (55.9%)</t>
  </si>
  <si>
    <t>16 (27.5%)</t>
  </si>
  <si>
    <t>Randomization was performed centrally (EORTC Data Center, Brussels) and stratified according to center and the FAB subtype (refractory anemia with an excess of blasts (RAEB) high risk vs RAEB in transformation (RAEBt)).</t>
  </si>
  <si>
    <t>Low Dose Cytarabine + rhGM-CSF</t>
  </si>
  <si>
    <t>21 (35.6%)</t>
  </si>
  <si>
    <t>38 (64.4%)</t>
  </si>
  <si>
    <t>29 (53.7%)</t>
  </si>
  <si>
    <t>Low Dose Cytarabine + IL-3</t>
  </si>
  <si>
    <t>26 (41.9%)</t>
  </si>
  <si>
    <t>36 (58.1%)</t>
  </si>
  <si>
    <t>30 (50.9%)</t>
  </si>
  <si>
    <t>Dohner_Blood_2014</t>
  </si>
  <si>
    <t>Randomized, phase 2 trial of low-dose cytarabine with or without volasertib in AML patients not suitable for induction therapy</t>
  </si>
  <si>
    <t>NCT00804856</t>
  </si>
  <si>
    <t>LDAC vs. LDAC+VOL</t>
  </si>
  <si>
    <t>Untreated AML patients not suitable for induction therapy</t>
  </si>
  <si>
    <t>Untreated AML, unsuitable for intensive induction therapy, ECOS PS  ≤2, adequate organ function, no acute promyelocytic leukemia, no second malignancy requiring treatment, no central nervous system leukemia, no QT prolongation</t>
  </si>
  <si>
    <t>16 (35.6%) / 29 (64.4%)</t>
  </si>
  <si>
    <t>41% (20-95)</t>
  </si>
  <si>
    <t>36 (80.0%)</t>
  </si>
  <si>
    <t>28 (66.7%)</t>
  </si>
  <si>
    <t>14 (33.3%)</t>
  </si>
  <si>
    <t>3.2-9.1</t>
  </si>
  <si>
    <t>0.40-1.00</t>
  </si>
  <si>
    <t>OS months: 5.2 vs. 8, HR=0.63, HR CI=0.40-1.00, p=0.047</t>
  </si>
  <si>
    <t>3 (6.7%) / 3 (6.7%)</t>
  </si>
  <si>
    <t>3 (6.7%)</t>
  </si>
  <si>
    <t>CR/CRi= 3 (6.7%) / 3 (6.7%) vs. 6 (14.3%) / 7 (16.7%)</t>
  </si>
  <si>
    <t>30-125</t>
  </si>
  <si>
    <t>63.5 vs. 71</t>
  </si>
  <si>
    <t>7 (15.6%)</t>
  </si>
  <si>
    <t>1 (2.2%)</t>
  </si>
  <si>
    <t>2 (4.4%)</t>
  </si>
  <si>
    <t>5 (11.1%)</t>
  </si>
  <si>
    <t>10 (22.2%)</t>
  </si>
  <si>
    <t>Randomization was not stratified for any patient or disease characteristics.</t>
  </si>
  <si>
    <t>Low-dose Cytarabine + Volasertib</t>
  </si>
  <si>
    <t>42 (100%)</t>
  </si>
  <si>
    <t>25 (59.5%) / 17 (40.5%)</t>
  </si>
  <si>
    <t>50% (10-93)</t>
  </si>
  <si>
    <t>33 (78.6%)</t>
  </si>
  <si>
    <t>22 (61.1%)</t>
  </si>
  <si>
    <t>14 (38.9%)</t>
  </si>
  <si>
    <t>3.2-14.5</t>
  </si>
  <si>
    <t>6 (14.3%) / 7 (16.7%)</t>
  </si>
  <si>
    <t>6 (14.3%)</t>
  </si>
  <si>
    <t>29-158</t>
  </si>
  <si>
    <t>23 (54.8%)</t>
  </si>
  <si>
    <t>4 (9.5%)</t>
  </si>
  <si>
    <t>3 (7.1%)</t>
  </si>
  <si>
    <t>9 (21.4%)</t>
  </si>
  <si>
    <t>2 (4.8%)</t>
  </si>
  <si>
    <t>20 (47.6%)</t>
  </si>
  <si>
    <t>Dennis_HemaS_2018 (abstract)</t>
  </si>
  <si>
    <t>A randomised evaluation of low-dose ARA-C plus tosedostat versus low dose ARA-C in older patients with acute myeloid leukaemia: Results of the LI-1 trial.</t>
  </si>
  <si>
    <t>LI-1 trial
ISRCTN40571019</t>
  </si>
  <si>
    <t>Phase NR, RCT, masking NR</t>
  </si>
  <si>
    <t>Low-dose Cytarabine  + Tosedostat</t>
  </si>
  <si>
    <t>LDAC+TOS vs. TOS</t>
  </si>
  <si>
    <t>AML patients, aged &lt;=60 unsuitable for intensive therapy</t>
  </si>
  <si>
    <t>231 (94.29%)</t>
  </si>
  <si>
    <t>162 (66%) /Secondary: 69 (28%)</t>
  </si>
  <si>
    <t>182 (74%)</t>
  </si>
  <si>
    <t>64 (26%)</t>
  </si>
  <si>
    <t>0.88-1.63</t>
  </si>
  <si>
    <t>OS months: 28.4 vs. 24, HR=1.2, HR CI=0.88-1.63, p=0.2</t>
  </si>
  <si>
    <t>27 (17.22%)</t>
  </si>
  <si>
    <t>27 (17.22%) / NR</t>
  </si>
  <si>
    <t>CR/CRi= 27 (22.13%) vs. 17 (13.82%)</t>
  </si>
  <si>
    <t>Tosedostat</t>
  </si>
  <si>
    <t>17 (13.82%)</t>
  </si>
  <si>
    <t>17 (13.82%) / NR</t>
  </si>
  <si>
    <t>Sub-group Population Description (per arm)</t>
  </si>
  <si>
    <t>6 (33.3%)</t>
  </si>
  <si>
    <t>2 (11.1%)</t>
  </si>
  <si>
    <t>7 (38.9%)</t>
  </si>
  <si>
    <t>10 (55.6%)</t>
  </si>
  <si>
    <t>4 (22.2%) / 4 (22.2%)</t>
  </si>
  <si>
    <t>4 (22.2%)</t>
  </si>
  <si>
    <t>0 (100%)</t>
  </si>
  <si>
    <t>Age ≥65, treatment-naïve AML, unfit for intensive chemontherapy</t>
  </si>
  <si>
    <t xml:space="preserve">Older patients with treatment-naïve AML, unfit for intensive chemotherapy </t>
  </si>
  <si>
    <t>VEN+LDAC</t>
  </si>
  <si>
    <t>Venetoclax + Low-dose Cytarabine</t>
  </si>
  <si>
    <t>P1/2, single arm, open-label</t>
  </si>
  <si>
    <t>NCT02287233</t>
  </si>
  <si>
    <t>Phase 1B/2 study of venetoclax with low-dose cytarabine in treatment-naive patients aged &gt;=65 years with acute myelogenous leukemia.</t>
  </si>
  <si>
    <t>Lin_Haematologica_2016 (abstract)</t>
  </si>
  <si>
    <t>November 18 2019</t>
  </si>
  <si>
    <t>5 (42%)</t>
  </si>
  <si>
    <t>3 (25%)</t>
  </si>
  <si>
    <t>0 (0%) / 8 (67%)</t>
  </si>
  <si>
    <t>6 (50%)</t>
  </si>
  <si>
    <t>10 (84%)</t>
  </si>
  <si>
    <t>47% (28-52%)</t>
  </si>
  <si>
    <t>Venetoclax + Decitabine + Posaconazole</t>
  </si>
  <si>
    <t>1 (5%)</t>
  </si>
  <si>
    <t>11 (50%)</t>
  </si>
  <si>
    <t>7 (32%)</t>
  </si>
  <si>
    <t>3 (14%)</t>
  </si>
  <si>
    <t>6 (27%)</t>
  </si>
  <si>
    <t>6 (27%) / 7 (32%)</t>
  </si>
  <si>
    <t>9.3-Not Reached</t>
  </si>
  <si>
    <t>9 (41%)</t>
  </si>
  <si>
    <t>13 (59%)</t>
  </si>
  <si>
    <t>18 (82%)</t>
  </si>
  <si>
    <t>41% (25-60%)</t>
  </si>
  <si>
    <t>22 (100%)</t>
  </si>
  <si>
    <t>Venetoclax + Azacitidine</t>
  </si>
  <si>
    <t>Patients were stratified by cytogenetic risk factor (intermediate or poor).</t>
  </si>
  <si>
    <t>5 (22%)</t>
  </si>
  <si>
    <t>11 (48%)</t>
  </si>
  <si>
    <t>2 (8%)</t>
  </si>
  <si>
    <t>3 (13%)</t>
  </si>
  <si>
    <t>8 (35%)</t>
  </si>
  <si>
    <t>8 (35%) / 6 (26%)</t>
  </si>
  <si>
    <t>8.0-Not Reached</t>
  </si>
  <si>
    <t>6 (26%)</t>
  </si>
  <si>
    <t>17 (74%)</t>
  </si>
  <si>
    <t>19 (83%)</t>
  </si>
  <si>
    <t>42% (30-65%)</t>
  </si>
  <si>
    <t>23 (100%)</t>
  </si>
  <si>
    <t>Previously untreated AML patients not eligible for standard induction chemotherapy, age ≥ 65,  life expectancy ≥12 weeks, ECOG PS ≤ 2</t>
  </si>
  <si>
    <t>Previously untreated AML patients not eligible for standard induction chemotherapy, age ≥ 65</t>
  </si>
  <si>
    <t>VEN+DEC vs VEN+AZA vs VEN+DEC+POS</t>
  </si>
  <si>
    <t>Venetoclax + Decitabine</t>
  </si>
  <si>
    <t>P1b, non-randomized, open label, multicenter</t>
  </si>
  <si>
    <t>NCT02203773</t>
  </si>
  <si>
    <t>Safety and preliminary efficacy of venetoclax with decitabine or azacitidine in elderly patients with previously untreated acute myeloid leukaemia: a non-randomised, open-label, phase 1b study.</t>
  </si>
  <si>
    <t>DiNardo_LO_2018</t>
  </si>
  <si>
    <t>4 (20%)</t>
  </si>
  <si>
    <t>9 (45%)</t>
  </si>
  <si>
    <t>91.2+-760</t>
  </si>
  <si>
    <t>11 (55%)</t>
  </si>
  <si>
    <t>8 (40%)</t>
  </si>
  <si>
    <t>10 (50%) / 10 (50%)</t>
  </si>
  <si>
    <t>17 (85%)</t>
  </si>
  <si>
    <r>
      <t xml:space="preserve">Age </t>
    </r>
    <r>
      <rPr>
        <sz val="12"/>
        <color theme="1"/>
        <rFont val="Calibri"/>
        <family val="2"/>
      </rPr>
      <t>≥</t>
    </r>
    <r>
      <rPr>
        <sz val="12"/>
        <color theme="1"/>
        <rFont val="Helvetica"/>
        <family val="2"/>
      </rPr>
      <t>56, non-M3 AML or MDS (RAEB-I or RAEB-II), no previous therapy with the exception of hydroxyurea, ALT and AST less than twice the institutional normal value, LVEF ≥40%</t>
    </r>
  </si>
  <si>
    <t>Elderly patients with non-M3 AML or MDS (RAEB-I or RAEB-II), no previous therapy with the exception of hydroxyurea</t>
  </si>
  <si>
    <t>HYD+AZA+GEM</t>
  </si>
  <si>
    <t>Hydroxyurea + Azacitidine + Gemtuzumab Ozogamicin</t>
  </si>
  <si>
    <t>P2, single-arm</t>
  </si>
  <si>
    <t>Hydroxyurea, azacitidine and gemtuzumab ozogamicin therapy in patients with previously untreated non-M3 acute myeloid leukemia and high-risk myelodysplastic syndromes in the elderly: results from a pilot trial.</t>
  </si>
  <si>
    <t>Nand_LL_2008</t>
  </si>
  <si>
    <t>1 (8%)</t>
  </si>
  <si>
    <t>10 (83%)</t>
  </si>
  <si>
    <t>3 (27.3%) / NR (NR%)</t>
  </si>
  <si>
    <t>3 (27.3%)</t>
  </si>
  <si>
    <t>7 (58.3%)</t>
  </si>
  <si>
    <t>11 (91.7%)</t>
  </si>
  <si>
    <t>8.9 (7.6-10.6)</t>
  </si>
  <si>
    <t>Peripheral blast count: 47% (17-85)</t>
  </si>
  <si>
    <t>Age ≥65, previously untreated AML, Express CD33, serum creatinine &lt;2.0 mg/dl, AST and ALT less than twice the upper limit of normal, Total bilirubin &lt;2.0 mg/dl</t>
  </si>
  <si>
    <t>Older adults with previously untreated AML</t>
  </si>
  <si>
    <t>GEM</t>
  </si>
  <si>
    <t>Gemtuzumab Ozogamicin</t>
  </si>
  <si>
    <t>P2, single-arm, single center</t>
  </si>
  <si>
    <t>Phase II pilot trial of gemtuzumab ozogamicin (GO) as first line therapy in acute myeloid leukemia patients age 65 or older.</t>
  </si>
  <si>
    <t>Nabhan_LR_2005</t>
  </si>
  <si>
    <t>6 (23%)</t>
  </si>
  <si>
    <t>20 (77%)</t>
  </si>
  <si>
    <t>8 (32%)</t>
  </si>
  <si>
    <t>17 (68%)</t>
  </si>
  <si>
    <t>Age ≥ 65, newly diagnosed AML or high-risk MDS (RAEB-t and RAEB)</t>
  </si>
  <si>
    <t>Newly diagnosed AML or high-risk MDS (RAEB-t and RAEB)</t>
  </si>
  <si>
    <t>GEM+IL-11 vs GEM</t>
  </si>
  <si>
    <t>Gemtuzumab Ozogamicin + Interleukin 11</t>
  </si>
  <si>
    <t xml:space="preserve">Phase NR, RCT </t>
  </si>
  <si>
    <t>Gemtuzumab ozogamicin with or without interleukin 11 in patients 65 years of age or older with untreated acute myeloid leukemia and high-risk myelodysplastic syndrome: comparison with idarubicin plus continuous-infusion, high-dose cytosine arabinoside.</t>
  </si>
  <si>
    <t>Estey_Blood_2002</t>
  </si>
  <si>
    <t>19 (35.2%)</t>
  </si>
  <si>
    <t xml:space="preserve">Time to best reponse: 35 </t>
  </si>
  <si>
    <t>19 (35.2%) / NR</t>
  </si>
  <si>
    <r>
      <t xml:space="preserve">Age </t>
    </r>
    <r>
      <rPr>
        <sz val="12"/>
        <color theme="1"/>
        <rFont val="Calibri"/>
        <family val="2"/>
      </rPr>
      <t>≥</t>
    </r>
    <r>
      <rPr>
        <sz val="12"/>
        <color theme="1"/>
        <rFont val="Helvetica"/>
        <family val="2"/>
      </rPr>
      <t xml:space="preserve">70, newly diagnosed, non-M3 AML de novo and secondary, Zubrod PS 2-3 (poor risk), liver and renal functions </t>
    </r>
    <r>
      <rPr>
        <sz val="12"/>
        <color theme="1"/>
        <rFont val="Calibri"/>
        <family val="2"/>
      </rPr>
      <t>≥</t>
    </r>
    <r>
      <rPr>
        <sz val="12"/>
        <color theme="1"/>
        <rFont val="Helvetica"/>
        <family val="2"/>
      </rPr>
      <t>2 times upper limit of normal,  LVEF &gt;40%.</t>
    </r>
  </si>
  <si>
    <t>Newly diagnosed non-M3 AML de novo and secondary.Age ≥70</t>
  </si>
  <si>
    <t>P2, single arm, multicenter, sub-group analysis (Age ≥70)</t>
  </si>
  <si>
    <t>NCT00658814</t>
  </si>
  <si>
    <t>A phase 2 trial of azacitidine and gemtuzumab ozogamicin therapy in older patients with acute myeloid leukemia.</t>
  </si>
  <si>
    <t>Nand_Blood_2013 [sub-group 2]</t>
  </si>
  <si>
    <t>31 (39.2%)</t>
  </si>
  <si>
    <t>23 (29.1%) / 12 (15.2%)</t>
  </si>
  <si>
    <t>23 (29.1%)</t>
  </si>
  <si>
    <t>52 (66%) / 27 (34%)</t>
  </si>
  <si>
    <r>
      <t xml:space="preserve">Age 60-69, newly diagnosed, non-M3 AML de novo and secondary, Zubrod PS 0-1 (good risk), liver and renal functions </t>
    </r>
    <r>
      <rPr>
        <sz val="12"/>
        <color theme="1"/>
        <rFont val="Calibri"/>
        <family val="2"/>
      </rPr>
      <t>≥</t>
    </r>
    <r>
      <rPr>
        <sz val="12"/>
        <color theme="1"/>
        <rFont val="Helvetica"/>
        <family val="2"/>
      </rPr>
      <t>2 times upper limit of normal,  LVEF &gt;40%.</t>
    </r>
  </si>
  <si>
    <t>Newly diagnosed non-M3 AML de novo and secondary. Age 60-69</t>
  </si>
  <si>
    <t>P2, single arm, multicenter, sub-group analysis (Age 60-69)</t>
  </si>
  <si>
    <t>Nand_Blood_2013 [sub-group 1]</t>
  </si>
  <si>
    <t>14 (52%)</t>
  </si>
  <si>
    <t>3 (11%)</t>
  </si>
  <si>
    <t>5 (18%)</t>
  </si>
  <si>
    <t>5 (18%) / NR (NR)</t>
  </si>
  <si>
    <t>11 (41%)</t>
  </si>
  <si>
    <t>17 (63%) / 10 (37%)</t>
  </si>
  <si>
    <t>27(100%)</t>
  </si>
  <si>
    <t>9 (31%)</t>
  </si>
  <si>
    <t>29 (100%)</t>
  </si>
  <si>
    <t>6 (21%)</t>
  </si>
  <si>
    <t xml:space="preserve">6 (21%) / NR (NR) </t>
  </si>
  <si>
    <t>4 (14%)</t>
  </si>
  <si>
    <t>11 (38%)</t>
  </si>
  <si>
    <t>16 (55.2%) / 13 (44.8%)</t>
  </si>
  <si>
    <t xml:space="preserve">Previously untreated, de novo or secondary AML patients not considered candidates for intensive chemotherapy, age &gt; 75 years, 61–75 years with a WHO PS &gt; 2 or unwilling to receive intensive chemotherapy, WBC count &lt; 30×109/l </t>
  </si>
  <si>
    <t>Previously untreated, de novo or secondary AML patients not considered candidates for intensive chemotherapy</t>
  </si>
  <si>
    <t>GEM (HS) vs GEM (CS)</t>
  </si>
  <si>
    <t>NCT00091234, AML-19</t>
  </si>
  <si>
    <t>Randomized trial of two schedules of low-dose gemtuzumab ozogamicin as induction monotherapy for newly diagnosed acute myeloid leukaemia in older patients not considered candidates for intensive chemotherapy. A phase II study of the EORTC and GIMEMA leukaemia groups (AML-19).</t>
  </si>
  <si>
    <t>Amadori_BJH_2010</t>
  </si>
  <si>
    <t>39 (34.2%)</t>
  </si>
  <si>
    <t>24 (21%)</t>
  </si>
  <si>
    <t>27 (23.7%)</t>
  </si>
  <si>
    <t>2.6-4.2</t>
  </si>
  <si>
    <t>32 (26.9%)</t>
  </si>
  <si>
    <t>45 (37.8%)</t>
  </si>
  <si>
    <t>85(71.4%) / 34 (28.6%)</t>
  </si>
  <si>
    <t>119 (100%)</t>
  </si>
  <si>
    <t>39 (35.1%)</t>
  </si>
  <si>
    <t>13 (11.7%)</t>
  </si>
  <si>
    <t>20 (18%)</t>
  </si>
  <si>
    <t>14-139</t>
  </si>
  <si>
    <t>Induction response: 9 (8.1%) / 17(15.3%), Best Response: 17(15.3%) / 13 (11.7%) vs. Induction response: NR (NR%) / NR(NR%), Best Response: NR(NR%) / NR (NR%)</t>
  </si>
  <si>
    <t>Induction response: 9 (8.1%) / 17(15.3%), Best Response: 17(15.3%) / 13 (11.7%)</t>
  </si>
  <si>
    <t>0.53-0.90</t>
  </si>
  <si>
    <t>4.2-6.8</t>
  </si>
  <si>
    <t>59 (50%)</t>
  </si>
  <si>
    <t>76 (66.9%) / 39 (33.1%)</t>
  </si>
  <si>
    <t>118 (100%)</t>
  </si>
  <si>
    <r>
      <t xml:space="preserve">Age &gt;75, 61-75 years of age with WHO PS </t>
    </r>
    <r>
      <rPr>
        <sz val="12"/>
        <color theme="1"/>
        <rFont val="Calibri"/>
        <family val="2"/>
      </rPr>
      <t>&gt;</t>
    </r>
    <r>
      <rPr>
        <sz val="12"/>
        <color theme="1"/>
        <rFont val="Helvetica"/>
        <family val="2"/>
      </rPr>
      <t xml:space="preserve">2 or unwilling to receive standard chemotherapy, previously untreated, de novo or secondary to MDS, ineligible for intensice chemotherapy, WBC counts  </t>
    </r>
    <r>
      <rPr>
        <sz val="12"/>
        <color theme="1"/>
        <rFont val="Calibri"/>
        <family val="2"/>
      </rPr>
      <t>&lt;</t>
    </r>
    <r>
      <rPr>
        <sz val="12"/>
        <color theme="1"/>
        <rFont val="Helvetica"/>
        <family val="2"/>
      </rPr>
      <t>30 X 10^9/L</t>
    </r>
  </si>
  <si>
    <t>Previously untreated, de novo or secondary to myelodysplasia, ineligible for intensive chemotherapy</t>
  </si>
  <si>
    <t>GEM vs. BSC</t>
  </si>
  <si>
    <t>P3, RCT, Open-label</t>
  </si>
  <si>
    <t>Gemtuzumab Ozogamicin Versus Best Supportive Care in Older Patients With Newly Diagnosed Acute Myeloid Leukemia Unsuitable for Intensive Chemotherapy: Results of the Randomized Phase III EORTC-GIMEMA AML-19 Trial.</t>
  </si>
  <si>
    <t>Amadori_JCO_2016</t>
  </si>
  <si>
    <t>June 17, 2019</t>
  </si>
  <si>
    <t>December 18, 2017</t>
  </si>
  <si>
    <r>
      <t xml:space="preserve">Allocation was computer generated using minimization to ensure balance overall and within stratification parameters: age groups (ages &lt;60 years, 60–64 years, 65–69 years, 70–74 years, and </t>
    </r>
    <r>
      <rPr>
        <sz val="12"/>
        <color theme="1"/>
        <rFont val="Calibri"/>
        <family val="2"/>
      </rPr>
      <t>≥</t>
    </r>
    <r>
      <rPr>
        <sz val="12"/>
        <color theme="1"/>
        <rFont val="Helvetica"/>
        <family val="2"/>
      </rPr>
      <t xml:space="preserve">75 years), World Health Organization (WHO) performance status, white blood count (&lt;100 X 10^9/L, 100–199 X 10^9/L, </t>
    </r>
    <r>
      <rPr>
        <sz val="12"/>
        <color theme="1"/>
        <rFont val="Calibri"/>
        <family val="2"/>
      </rPr>
      <t>≥</t>
    </r>
    <r>
      <rPr>
        <sz val="12"/>
        <color theme="1"/>
        <rFont val="Helvetica"/>
        <family val="2"/>
      </rPr>
      <t>200 X 10^9/L), and type of disease (de novo AML, secondary AML, MDS).</t>
    </r>
  </si>
  <si>
    <t>The addition of gemtuzumab ozogamicin to low-dose Ara-C improves remission rate but does not significantly prolong survival in older patients with acute myeloid leukaemia: results from the LRF AML14 and NCRI AML16 pick-a-winner comparison</t>
  </si>
  <si>
    <t>Age ≥60, de novo AML, ECOG PS  ≤2, left ventricular ejection fraction ≥60%, adequate liver &amp; renal function</t>
  </si>
  <si>
    <r>
      <t xml:space="preserve">Randomization to the 2 treatment arms was performed through a stratified block randomization scheme with 2 strata (age 60-69 and age </t>
    </r>
    <r>
      <rPr>
        <sz val="12"/>
        <color theme="1"/>
        <rFont val="Calibri"/>
        <family val="2"/>
      </rPr>
      <t>≥</t>
    </r>
    <r>
      <rPr>
        <sz val="12"/>
        <color theme="1"/>
        <rFont val="Helvetica"/>
        <family val="2"/>
      </rPr>
      <t>70 years).</t>
    </r>
  </si>
  <si>
    <r>
      <t>Patients aged&gt;=65 years with newly diagnosed, de novo or secondary poor-risk cytogenetics MK- AML (</t>
    </r>
    <r>
      <rPr>
        <sz val="12"/>
        <color theme="1"/>
        <rFont val="Calibri"/>
        <family val="2"/>
      </rPr>
      <t>≥</t>
    </r>
    <r>
      <rPr>
        <sz val="12"/>
        <color theme="1"/>
        <rFont val="Helvetica"/>
        <family val="2"/>
      </rPr>
      <t>20% blasts), and poor/intermediate-risk cytogenetics</t>
    </r>
  </si>
  <si>
    <r>
      <t xml:space="preserve">Patients aged </t>
    </r>
    <r>
      <rPr>
        <sz val="12"/>
        <color theme="1"/>
        <rFont val="Calibri"/>
        <family val="2"/>
      </rPr>
      <t>&gt;=</t>
    </r>
    <r>
      <rPr>
        <sz val="12"/>
        <color theme="1"/>
        <rFont val="Helvetica"/>
        <family val="2"/>
      </rPr>
      <t>65 years with newly diagnosed, de novo or secondary MK+ (≥2 distinct autosomal monosomies; or 1 autosomal monosomy and ≥1 structural abnormality) AML (</t>
    </r>
    <r>
      <rPr>
        <sz val="12"/>
        <color theme="1"/>
        <rFont val="Calibri"/>
        <family val="2"/>
      </rPr>
      <t>≥</t>
    </r>
    <r>
      <rPr>
        <sz val="12"/>
        <color theme="1"/>
        <rFont val="Helvetica"/>
        <family val="2"/>
      </rPr>
      <t xml:space="preserve">20% blasts), and poor/intermediate-risk cytogenetics </t>
    </r>
  </si>
  <si>
    <r>
      <t xml:space="preserve">Previously untreated, newly diagnosed de novo or secondary AML ( </t>
    </r>
    <r>
      <rPr>
        <sz val="12"/>
        <color theme="1"/>
        <rFont val="Calibri"/>
        <family val="2"/>
      </rPr>
      <t>≥</t>
    </r>
    <r>
      <rPr>
        <sz val="12"/>
        <color theme="1"/>
        <rFont val="Helvetica"/>
        <family val="2"/>
      </rPr>
      <t>20% blasts)</t>
    </r>
  </si>
  <si>
    <t>July 23, 2018</t>
  </si>
  <si>
    <t>20 (31.3%)</t>
  </si>
  <si>
    <t>11 (17.2%) / 9 (14.1%)</t>
  </si>
  <si>
    <t>42 (39.6%)</t>
  </si>
  <si>
    <t>64 (59.8%)</t>
  </si>
  <si>
    <t>Azacitidine + Durvalumab</t>
  </si>
  <si>
    <t>Stratified according to cytogenetic risk (MDS, very good/good/intermediate vs. poor/very poor; AML, intermediate vs. poor)</t>
  </si>
  <si>
    <t>CR/CRi = 14 (21.5%) / 9 (13.8%) vs. 11 (17.2%) / 9 (14.1%)</t>
  </si>
  <si>
    <t>14 (21.5%)</t>
  </si>
  <si>
    <t>14 (21.5%) / 9 (13.8%)</t>
  </si>
  <si>
    <t>OS months: 14.4 vs. 13.0, HR=NR, HR CI=NR, p=NR</t>
  </si>
  <si>
    <t>65 (60.7%)</t>
  </si>
  <si>
    <t>Older AML patients (aged 65 years) who were ineligible for intensive chemotherapy or MDS (aged 18 years; IPSS-R intermediate, high, and very high), ECOG PS 0-2</t>
  </si>
  <si>
    <t>Older patients with newly diagnosed AML with &gt;20% blasts, previously unterated, unfit for intensive chemotherapy</t>
  </si>
  <si>
    <t>AZA vs. AZA + DURA</t>
  </si>
  <si>
    <t>NCT02775903</t>
  </si>
  <si>
    <t>Efficacy and Safety of Azacitidine (AZA) in Combination with the Anti-PD-L1 Durvalumab (durva) for the Front-Line Treatment of Older Patients (pts) with Acute Myeloid Leukemia (AML) Who Are Unfit for Intensive Chemotherapy (IC) and Pts with Higher-Risk Myelodysplastic Syndromes (HR-MDS): Results from a Large, International, Randomized Phase 2 Study</t>
  </si>
  <si>
    <t>Zeidan_ASH_2019 (abstract)</t>
  </si>
  <si>
    <t>December 18, 2017;
July 23, 2018</t>
  </si>
  <si>
    <t>1.9-5.7</t>
  </si>
  <si>
    <t>16 (42.1%)</t>
  </si>
  <si>
    <t>22 (57.9%)</t>
  </si>
  <si>
    <t>78 (100%)</t>
  </si>
  <si>
    <t>Patients were stratified by cytogenetic risk factor (good/intermediate or poor). OS improvement was consistent across groups stratified by cytogenic risk</t>
  </si>
  <si>
    <t>OS months in CR: 8.3 vs 4.3, HR=0.495, HR CI = 0.325-0.752, p=	0.0004</t>
  </si>
  <si>
    <t>0.325-0.752</t>
  </si>
  <si>
    <t>4.7-12.2</t>
  </si>
  <si>
    <t>25 (32.1%)</t>
  </si>
  <si>
    <t>53 (67.9%)</t>
  </si>
  <si>
    <t>Age &gt;= 55, newly diagnosed, previously untreated AML and not suitable for intensive chemothreapy (age &gt;=75, OR ECOG PS 2, OR Serum creatinine &gt;1.3 mg/dL, OR LVEF &lt;45%)</t>
  </si>
  <si>
    <t>Newly diagnosed with AML ineligible for intensive chemotherapy</t>
  </si>
  <si>
    <t>P2 RCT, open-label, long-term analysis</t>
  </si>
  <si>
    <t>NCT01546038. BRIGHT AML 1003</t>
  </si>
  <si>
    <t>Low-Dose Cytarabine With or Without Glasdegib in Newly Diagnosed Patients with Acute Myeloid Leukemia: Long-Term Analysis of a Phase 2 Randomized Trial.</t>
  </si>
  <si>
    <t>Papayannidis_CLML_2019 (abstract)</t>
  </si>
  <si>
    <t>December 18, 2017;
July 23, 2018;
June 17, 2019</t>
  </si>
  <si>
    <t>SLR Date</t>
  </si>
  <si>
    <t>Q-TWiST</t>
  </si>
  <si>
    <t>RCT, N=116</t>
  </si>
  <si>
    <t>Glasdegib + Low-dose Cytarabine (LDAC) vs. LDAC</t>
  </si>
  <si>
    <t>Quality-Adjusted Survival for Low-Dose Cytarabine (LDAC) Versus Glasdegib+LDAC Among Newly Diagnosed Acute Myeloid Leukemia Patients Who Are Not Candidates for Intensive Chemotherapy: A Q-TWiST Analysis</t>
  </si>
  <si>
    <t>Kwon_ASH_2019 (abstract)</t>
  </si>
  <si>
    <t>If all eligible Irish patients were treated with GO it was projected to result in an incremental QALY gain of 328 and 433 additional life years respectively.</t>
  </si>
  <si>
    <t>Cost-utility analysis model; payer perspective; 5-year time horizon</t>
  </si>
  <si>
    <t>Previously untreated adult de novo AML, CD33-positive</t>
  </si>
  <si>
    <t>Gemtuzumab ozogamicin (GO)</t>
  </si>
  <si>
    <t>2019, Ireland</t>
  </si>
  <si>
    <t>Impact of Gemtuzumab Ozogamicin on the Irish Healthcare System</t>
  </si>
  <si>
    <t>Gallagher_ISPOR_2019</t>
  </si>
  <si>
    <r>
      <t xml:space="preserve">Newly diagnosed AML (intermediate-risk/poor-risk, ECOG </t>
    </r>
    <r>
      <rPr>
        <sz val="12"/>
        <color rgb="FF000000"/>
        <rFont val="Calibri"/>
        <family val="2"/>
      </rPr>
      <t>≤</t>
    </r>
    <r>
      <rPr>
        <sz val="12"/>
        <color rgb="FF000000"/>
        <rFont val="Helvetica"/>
        <family val="2"/>
      </rPr>
      <t xml:space="preserve"> 2), age ≥ 65, ineligible for HSCT </t>
    </r>
  </si>
  <si>
    <t>Assumed comparators: AZA, DEC, LDAC, gemtuzumab ozogamicin, and best supportive care; Cost: treatment, its administration, adverse events, hospitalization, disease monitoring, and blood transfusions</t>
  </si>
  <si>
    <t>For a health plan with 1 million members per year, the model estimated 49 patients with newly diagnosed AML who are ineligible for intensive induction chemotherapy. The adoption of VEN was calculated to have an initial annual impact on the incremental total budget of $1,395,553. The annual incremental PMPM was $0.12, $0.17, and $0.17 for Year 1, 2, and 3, respectively</t>
  </si>
  <si>
    <t>Budget impact model; 3-year budget impact of introducing VEN; payer perspective (60% commercial and 40% Medicare)</t>
  </si>
  <si>
    <t>Adults newly diagnosed AML who are ineligible for intensive induction chemotherapy</t>
  </si>
  <si>
    <t>Venetoclax (VEN)</t>
  </si>
  <si>
    <t>2018, USA</t>
  </si>
  <si>
    <t>Budget impact analysis of venetoclax combinations in treatment of newly diagnosed acute myeloid leukemia in adults who are ineligible for intensive induction chemotherapy.</t>
  </si>
  <si>
    <t>Choi_JMCSP_2019 (Abstract)</t>
  </si>
  <si>
    <t>Cost data were taken from UK NHS 2016 reference costs</t>
  </si>
  <si>
    <t>Utility data were sourced from the literature; No further details reported</t>
  </si>
  <si>
    <t>ICER (GO+SOC vs. SOC): GBP £13,561/QALY</t>
  </si>
  <si>
    <t>Incremental cost (GO+SOC vs. SOC): GBP £13,457</t>
  </si>
  <si>
    <t>QALY: 5.29 vs 4.30 (GO+SOC vs. SOC) / 
LY: 7.24 vs 5.93 (GO+SOC vs. SOC)</t>
  </si>
  <si>
    <t>Cost-effectiveness survival analysis model; 5 health states (Induction therapy, CR/CRp, Relapse, Refractory, Post HSCT);  payer perspective; lifetime time horizon; discount rate NR</t>
  </si>
  <si>
    <t>Patients with newly diagnosed AML aged of 50-70 years old</t>
  </si>
  <si>
    <t>Gemtuzumab ozogamicin (GO) + SOC (Daunorubicin + Cytarabine) vs. SOC</t>
  </si>
  <si>
    <t>2019, UK</t>
  </si>
  <si>
    <t>Cost-effectiveness of gemtuzumab ozogamicin in combination with standard of care chemotherapy (daunorubicin and cytarabine) for first-line treatment of acute myeloid leukaemia.</t>
  </si>
  <si>
    <t>Mokgokong_BJH_2019 (Abstract)</t>
  </si>
  <si>
    <r>
      <t xml:space="preserve">MDS (Intermediate and High Risk), age </t>
    </r>
    <r>
      <rPr>
        <sz val="12"/>
        <color rgb="FF000000"/>
        <rFont val="Calibri"/>
        <family val="2"/>
      </rPr>
      <t>≥</t>
    </r>
    <r>
      <rPr>
        <sz val="12"/>
        <color rgb="FF000000"/>
        <rFont val="Helvetica"/>
        <family val="2"/>
      </rPr>
      <t xml:space="preserve"> 18</t>
    </r>
  </si>
  <si>
    <r>
      <t xml:space="preserve">Newly diagnosed AML, </t>
    </r>
    <r>
      <rPr>
        <sz val="12"/>
        <color rgb="FF000000"/>
        <rFont val="Calibri"/>
        <family val="2"/>
      </rPr>
      <t>≥</t>
    </r>
    <r>
      <rPr>
        <sz val="12"/>
        <color rgb="FF000000"/>
        <rFont val="Helvetica"/>
        <family val="2"/>
      </rPr>
      <t xml:space="preserve"> 60 years old</t>
    </r>
  </si>
  <si>
    <t>AML patients with BM blasts &gt;=30%</t>
  </si>
  <si>
    <t xml:space="preserve">High Healthcare Utilization and Costs in Patients with Higher-Risk MDS/Low Blast Count AML Treated with Azacitidine in Ontario, Canada_x000D_
_x000D_
Background: Azacitidine (AZA) use in higher-risk MDS has been adopted because it improves survival. Despite this, "real-world" data on the economic impact and resource utilization remains unknown. We used the Ontario provincial AZA MDS registry, which captures all AZA-treated patients in the province, to analyze "real-world" data on healthcare use, associated costs and their predictors in AZA treated higher-risk patients._x000D_
Methods: We linked the provincial MDS AZA registry (single-payer/universal access), which captures baseline characteristics and treatment response for all AZA-treated patients in Ontario, to population-based health system administrative databases. Only higher-risk MDS patients (IPSS intermediate-2, high) and low blast count AML (21-30% blasts) treated from May 30, 2010 to March 16, 2015 were included. Patients were followed for 24 months following first AZA treatment and censored at the earliest of 90 days after last AZA treatment, date of death, time of acute leukemia induction/allogeneic stem cell transplant or March 31, 2016. We estimated healthcare resource utilization and the mean (and overall) standardized 28-day healthcare cost in Canadian dollars ($1 CDN = 0.76 USD$). Quantile regression was used to explore predictors of cost. Negative binomial regression models were used to explore predictors for higher rate of emergency department (ED) visits, and for longer length of stay, with the natural logarithm of length of follow-up as an offset variable in each model._x000D_
Results: The registry had 652 higher-risk MDS and 225 low blast count AML patients (n = 877) with median follow up of 8 months (IQR 4-13). Median age was 73 years (IQR 66-79), 66.0% were male, 17.8% were secondary MDS and IPSS scores of those calculable were intermediate-2 (64.9%) and high-risk (35.1%). At the time of AZA initiation, 587 patients (66.9%) were transfusion dependent. The median number of cycles received was 6 (range 3 to 11) and median overall survival was 16.1 months (95% CI 13.9 to 18.3). Overall, 705 patients (80.4%) had at least 1 ED visit and 290 (33.1%) had an ED visit during their first cycle of AZA. In addition, 680 patients (77.5%) had at least 1 hospital admission with a mean hospital stay of 17.7 days (95% CI 16.3 to 19.1) over the entire study period. 141 patients (16.1%) required admission to an intensive care unit. Older age (Rate ratio [RR] = 1.33, 95% CI 1.09-1.62), rurality (RR=1.75, 95% CI 1.42-2.15), high IPSS score (RR=1.31, 95% CI 1.06-1.62), and increased comorbidity level were each independent predictors of increased ED visits; while higher comorbidity level (RR=1.51, 95% CI 1.08-2.11), high IPSS score (RR=1.39, 95% CI 1.01-1.92), and transfusion dependence (RR=1.51, 95% CI 1.13-2.01) were associated with longer hospital stays._x000D_
The overall mean cost was $146,675 per patient (95% CI $139,537 to $153,812) including AZA and $103,580 (95% CI 98,675 to 108,486) excluding AZA drug costs. The mean standardized cost per 28-day period per patient was $17,638 (95% CI $16, 870 to $18,407) with AZA and $13,450 (95% CI $12,730 to $14,170) without AZA drug costs. Inpatient admissions ($4,631, 95% CI $4,010 to $5,251) and non-physician outpatient cancer clinic costs ($6,092, 95% CI $5,851 to $6,333) were the major cost drivers. Excluding AZA costs, the mean standardized 28-day costs were higher in those receiving less than 4 cycles of AZA (n= 295) at $19,408 (95% CI $17,568 to $21,248), compared with those receiving 4 or more cycles (n= 582) at $10,430 (95% CI $10,069 to $10,790) with inpatient admissions as the major driver (mean $10,192, 95% CI $8,594 to $ 10,192 vs. $1,812, 95% CI $1,558 to $2,065). On multivariable analysis, only greater comorbid disease burden (\xce\xb2 = $2,074, 95% CI $665 to $3,483) and transfusion dependence (\xce\xb2 = $2,402, 95% CI $1,190 to $3,613) were associated with higher median standardized 28-day cost._x000D_
Conclusions: In our analysis of "real-world" patients with uniformly higher-risk MDS treated with AZA we demonstrate a significant economic impact above and beyond the cost of AZA alone. The costs are higher in patients who are transfusion dependent and have greater comorbidity and appear to be driven by inpatient care and outpatient non-physician ambulatory care. This group of patients are high users of healthcare resources with the majority having ED visits and inpatient admissions. These results will inform patients and providers about the "real-world" anticipated toxicities of AZA._x000D_
Disclosures Buckstein: Celgene: Honoraria, Membership on an entity\'s Board of Directors or advisory committees, Research Funding._x000D_
</t>
  </si>
  <si>
    <t>High bone marrow blast AML (&gt; 30%)</t>
  </si>
  <si>
    <t>Mix of low and high bone marrow blast AML</t>
  </si>
  <si>
    <t>Low bone marrow blast AML (20-30%)</t>
  </si>
  <si>
    <t>AZA vs Vorinostat+Azacitidine</t>
  </si>
  <si>
    <t>AZA vs CCR (IC, LDAC, BSC)</t>
  </si>
  <si>
    <t>AZA vs LDAC</t>
  </si>
  <si>
    <t>DEC + BOR vs DEC</t>
  </si>
  <si>
    <t>Male, n</t>
  </si>
  <si>
    <t>Efficacy-Survival</t>
  </si>
  <si>
    <t>2</t>
  </si>
  <si>
    <t>5</t>
  </si>
  <si>
    <t>No</t>
  </si>
  <si>
    <t>Group of patients ("class 1" who considered 10% increase in CR was most important compared to other attributes) was more likely to (strongly) agree that they had self-control (p=0.01), to have suffered from fatigue (p = 0.02) or organ failure (p&lt;.01), and to have had an allogeneic transplant (p&lt;0.01).</t>
  </si>
  <si>
    <t xml:space="preserve">Based on best-Worst Scaling (BWS) instrument, patients were most worried about “the possibility of dying from AML” (BW score= 74.47, SE= 0.60) and the “long-term side effects of treatments” (BW score= 70.61, SE= 0.53). Patients were least worried about “communicating openly with doctors” (BW score= 24.34, SE= 0.50). </t>
  </si>
  <si>
    <t>EQ-5D</t>
  </si>
  <si>
    <t>Clinical responders demonstrated meaningful improvements in EQ-5D scores from baseline after being treated with chemotherapy.</t>
  </si>
  <si>
    <t>At baseline, NIC AML patients had poor HRQoL scores in GHS (50) on a 0-100 scale, with higher scores indicating better health. Clinically meaningful and significant improvements in fatigue and PF were observed with non-intensive chemotherapeutic agents across several studies. Clinical responders demonstrated meaningful improvements in QLQ-C30 physical, role, cognitive and social functioning, Global Health Status, and EQ-5D scores from baseline after being treated with chemotherapy. Low baseline HRQoL scores, especially physical function was  shown to be significant independent predictors of poor survival.</t>
  </si>
  <si>
    <t>Baseline fatigue score was  33 on a 0-100 scale, with higher scores indicating better health. Clinical responders demonstrated meaningful improvements in fatigue from baseline after being treated with chemotherapy. The baseline fatigue scores was low (&lt;50) and it is shown to be significant independent predictors of poor survival.</t>
  </si>
  <si>
    <t>There were no differences in QOL (β = -0.71, SE = 1.12, P = 0.527)  over all time points. Older patients with AML receiving intensive and non-intensive chemotherapy experience similar QOL.</t>
  </si>
  <si>
    <t>There were no differences in depression (β = 0.24, SE = 0.20, P = 0.226), or anxiety (β = -0.16, SE = 0.19, P = 0.386) symptoms over all time points. Older patients with AML receiving intensive and non-intensive chemotherapy experience similarly high rates of psychological distress.</t>
  </si>
  <si>
    <t>The utility analysis results show that, compared with patients receiving bsc, patients treated with azacitidine had a better quality of life, and the difference increased with increasing length of treatment.</t>
  </si>
  <si>
    <t>On the MDASI, fatigue (followed by distress and disturbed sleep) was the symptom reported most often in the last 24 hours. Fatigue had the highest mean severity rating (3.37, sd = 3.36, 0-10 scale) on the MDASI.</t>
  </si>
  <si>
    <t>Total of 39 symptoms, 14 reported by 20% or more patients, occurring over the disease course. Fatigue and distress (followed by pain) was the symptom reported most often. The mean number of symptoms reported by patients with AML (5.46; sd = 2.83) and by patients with MDS (7.33; sd=4.18) was not significantly different. Proportionately patients with MDS reported more fatigue, disturbed sleep, drowsiness, shortness of breath, headache, and sadness but less pain and numbness/tingling than AML patients. Both groups of patients described symptom interference with day-to-day activities.</t>
  </si>
  <si>
    <t xml:space="preserve">The majority of the patients with AML reported problems on the five functioning scales of the QLQ-C30. The average scores on all functioning scales were significantly lower in patients with AML compared to adjusted general population scores. The differences in physical, role,
cognitive, and social functioning were also clinically relevant. Despite these differences, no significant difference was found for the global quality of life. </t>
  </si>
  <si>
    <t>Reported problems on the EQ-5D domains: Only a minority of the patients reported problems with selfcare (9%) and about a quarter of the patients (27%) reported anxiety. Patients more frequently reported pain and problems with usual activities or mobility. Less than 10% of the patients reported severe or extreme problems on any of the health dimensions.
Reported problems on the QLQ-C30: Fatigue was the most frequently reported symptom in patients with AML (78%). Other frequently reported symptoms were pain, dyspnea, insomnia, and financial difficulties. Patients with AML had significantly more problems with fatigue, pain, dyspnea, and appetite loss than the general population. Furthermore, financial difficulties were more frequently reported by patients with AML. Only the differences in fatigue, dyspnea, and financial difficulties were clinically relevant.</t>
  </si>
  <si>
    <t>Participants scored well on the EORTC QLQ-C30. The FACIT-Fatigue (worst 0-best 52) mean score was 28.7 and median score was 33.5 (normal ≥30). On the HADS anxiety scale, 2 participants scored in the abnormal range. On the QOL-CS, participants scored above 6 out of 10 in all domains, with exceptions of the psychological subscales of distress and fear (Physical 8.7 / Psychological 7.9 / Distress 4.7 / Fear 4.5 / Social 7.1 / Spiritual 7.4).</t>
  </si>
  <si>
    <t>Reported symptoms ranging from 11% (constipation) to 83% (fatigue)</t>
  </si>
  <si>
    <t>AML patients with 1L: EQ-5D = 0.75 
R/R to 1L AML patients:  EQ-5D = 0.71</t>
  </si>
  <si>
    <t xml:space="preserve">1L patients have better EQ-5D  scores than those on later lines of therapy, </t>
  </si>
  <si>
    <t xml:space="preserve">First-line patients may have a directionally better QoL scores than those on later lines of therapy
1L vs. R/R:  EQ-5D = 0.75 vs. 0.71 (P=0.51) and the FACT-Leu = 103.7 vs. 92.5 (P=0.098)
R/R patients were significantly more likely than first-line patients to be affected physically by their AML condition
1L vs. R/R: FACT-Leu-Physical Well-Being sub-domain = 13.0 vs. 17.6, p=0.005
</t>
  </si>
  <si>
    <t>The first-line patients had an average of 2.1 symptoms whereas the relapsed/refractory patients had an average of 2.4 symptoms</t>
  </si>
  <si>
    <t xml:space="preserve">There were worsening of emotional (-9.03; p= 0.04) and cognitive (-6.94; p= 0.05) EORTC scale scores, while increasing FACTG (+2.9; p=0.03), emotional (+1.1; p= 0.04) and Functional well being (+2.25; p=0.001) in FACT An scores. </t>
  </si>
  <si>
    <t>Yes</t>
  </si>
  <si>
    <t xml:space="preserve">At diagnosis The median QOL-E general standardized score 54 (IQR 46-70) / median EORTC QLQ-C30 global score decreased 50 (IQR 41-66) 
Fatigue in QOL-E median 45 (IQR 32-53) / in QLQ-C30 median 33 (IQR 22-66)
Loss of appetite was perceived by 75% of patients </t>
  </si>
  <si>
    <t>Median score of EQ-5D
Baseline 0.848 / Month 1-2: 0.812 / Month 3-4: 0.849 / Month 5-7: 0.866</t>
  </si>
  <si>
    <t>The only clinically significant improvements were observed with the EORTC physical functioning and fatigue subscales but constipation scores were higher and global health status/QOL deteriorated over time.</t>
  </si>
  <si>
    <t>Responders had significantly superior EQ-5D scores (p=.0002).</t>
  </si>
  <si>
    <t>50 were evaluable for QoL. Clinically important differences were seen in physical, role, cognitive and social functioning, global health status between responders and non responders (all higher in responders). Responders had significantly superior global health status (p=0.001) and EQ-5D scores (p=0.0002) and lower levels of fatigue (p&lt;0.0001).</t>
  </si>
  <si>
    <t>Among patients who survived 90 days after the assessment, patients who were in remission at a post-baseline timepoint had significantly improved  EQ-5D utility score (difference 0.08 (0.02-0.14) p=0.008)</t>
  </si>
  <si>
    <t xml:space="preserve">QoL assessment were performed at baseline, 3 month, 6 month and 12 month. Patients who died before the next QoL assessment point had QLQ-30C summary score 8.65 (6.68-10.61) points lower,EQ-5D utility score 0.11 (0.08-0.14) points lower, and EQ-5D VAS 7.73 (5.13-10.34) lower (all p&lt;.0001). After early deaths had been excluded, there were no significant differences in baseline quality of life between those patients who entered remission and those who did not on any measure. Among patients who survived 90 days after the assessment, patients who were in remission at a post-baseline timepoint had significantly improved QLQ-30C summary score (difference 4.27 (0.06-8.48), p=0.05), and EQ-5D utility score (difference 0.08 (0.02-0.14) p=0.008), but EQ-5D VAS was not significantly different by remission status (-1.32 (-7.57-4.93) p=0.7). </t>
  </si>
  <si>
    <t>At baseline, the mean index values for VAS of EQ-5D-5L were 0.68 and 62.5, respectively. Both index values (0.65) and VAS of EQ-5D-5L (0.57) showed moderate correlation with FACT-Leu. The EQ-5D-5L (0.71) and VAS (0.60) showed moderate correlation with FACT-TOI (p&lt;0.0001).</t>
  </si>
  <si>
    <t>At baseline, the mean FACT-Leu was 119.6. Except SWB, other FACTLeu subscale and aggregated scores highly correlated with FACT-Leu (0.74-0.96; p&lt;0.0001). Among NIC AML patients, FACT-Leu scores were significantly associated with PS and sex.</t>
  </si>
  <si>
    <t>For ECOG PS 0, EORT pysical/role/cognitive/emotional/social functioning scales and global health status numerically better than the EROT reference values. However With increasing ECOG performance status scores, the EORTC-QLQ-C30 health subscales deteriorated</t>
  </si>
  <si>
    <t>With increasing ECOG performance status scores, the symptom scales deteriorated</t>
  </si>
  <si>
    <t>No consistent pattern of change in FACT-Leu score was observed. The median change in FACT-Leu score was similar in both arms where the range of scores overlapped considerably.</t>
  </si>
  <si>
    <t>Patients on the DEC arm showed a significant improvement in their physical functioning and borderline improvement of global health status. No apparent effect was seen on dyspnea. Trends of most of QOL scales favors DEC.</t>
  </si>
  <si>
    <t>In the decitabine arm, 18 patients (15%) of 119 patients achieved hematologic improvement</t>
  </si>
  <si>
    <t xml:space="preserve">&lt;After 1st "3+7" regimen&gt;
QOL-E: no changes
QLQ-C30: deterioration in physical function (median 80, IQR 60-93, to 67, IQR 52-87, p=0.008), in role function (median 83, IQR 67-100, to 67, IQR 33-83, p=0.023) and in GHS (median 50, IQR 33-69, to 67, IQR 50-75, p=0.002) and improvement in dyspnea (p=0.023).
&lt;After consolidation therapy, among patients obtaining a CR&gt; 
QOL-E: improvement in median physical scores (56, IQR 41-72 to 63, IQR 50-84, p=0.033), disease-specific domain scores (59, IQR 48-67 to 74, IQR 67-85, p=0.003) and treatment outcome index scores (55, IQR 32-77, to 79, IQR 41-86, p=0.026)
QLQ-C30: improvement in emotional function (83, IQR 67-92, to 92, IQR 77-100, p=0.015), GHS (median 50, IQR 33-65 to 67, IQR 58-83, p=0.002). Dyspnea and insomnia regressed while financial problems increased.
</t>
  </si>
  <si>
    <t>157 AZA patients and 134 CCR patients were evaluable for HRQL. AZA or CCR showed general improvement in the 4 relevant domains. No HRQoL detriment was seen with AZA or CCR at the group level during treatment. "Few" statistically significant (p&lt;0.05). "Fewer" met the MID threshold. CCR achieved meaningful improvement in Fatigue (cycles 7, 9) and Global Health Status/QoL (cycle 9). Patients receiving AZA achieved meaningful improvement in Fatigue (cycle 9). Scores varied substantially among individual patients in both treatment groups.</t>
  </si>
  <si>
    <t>Utility Values (EQ-5D, SF-6D, HSUV, HUI, etc.)</t>
  </si>
  <si>
    <t>Significant Improvement in QOL?</t>
  </si>
  <si>
    <t>Symptoms Summary</t>
  </si>
  <si>
    <t>Significant Improvement in Symptoms?</t>
  </si>
  <si>
    <t>Utility</t>
  </si>
  <si>
    <t>HRQoL</t>
  </si>
  <si>
    <t>Symptoms</t>
  </si>
  <si>
    <t>At baseline, median EORTC QLQ-C30 Fatigue (BSC vs. HA vs. IC/HCT vs. total): 53.3 vs. 66.6 vs. 44.3 vs. 53.3
median ADL (Barthel Index) (BSC vs. HA vs. IC/HCT vs. total): 100 vs. 100 vs. 100 vs. 100</t>
  </si>
  <si>
    <t>Average EQ-VAS score of the patients was significantly lower than the predicted general population EQ-VAS: 74.6 vs. 78.8, p=0.0333. The lower  utility score was related to more problems with mobility and usual activities and more anxiety/depression. Allogeneic HSCT, younger age, and the absence of social support were also associated with a lower EQ-VAS score.
Overall, 0.82 (0.21 - 1.0); 
No Relapse: 0.83 vs. Relapse: 0.78 (p=0.19)
High dose chemo/HSCT: 0.83 vs. HSCT: 0.82 (p=0.77)</t>
  </si>
  <si>
    <t xml:space="preserve">For MDS patients utility values were obtained from two studies in which EQ-5D health questionnaire values were mapped from the European Organization for Research and Treatment of Cancer qlq-C30 survey, and SF-6D scores were mapped from the Short Form 12, elicited from 191 and 43 patients in two different trials. Because no utility values had been reported for patients with AML&gt;30, it was assumed that the utility value of this health state would be the same as that of baseline mds treated with azacitidine or BSC.
&lt;EQ-5D&gt;
AZA Day 0: 0.67 / Day 50: 0.70 / Day 106: 0.74 / Day 182: 0.80 / Day 183 onward: 0.80
Best supportive care Day 0: 0.67 / Day 50: 0.69 / Day 106: 0.68 / Day 182: 0.72 / Day 183 onward: 0.80
AML (&gt;30% blasts) 0.67
&lt;SF-6D&gt;
Low-dose chemotherapy Day 0: 0.67 / Day 14: 0.70 / Day 42: 0.71 / Day 70: 0.72 / Day 98: 0.70 / Day 182: 0.85 / Day 365: 0.67 / Day 366 onward: 0.67
Standard-dose chemotherapy Day 0: 0.66 / Day 14: 0.61 / Day 42: 0.66 / Day 70: 0.69 / Day 98: 0.72 / Day 182: 0.74 / Day 365: 0.83 / Day 366 onward: 0.83
</t>
  </si>
  <si>
    <t>The adjusted means of the EQ-5D index were adopted from the previous cross-sectional study of acute leukemia survivors. In the Markov model, we allowed the QOL estimates to change over time to reflect possible longitudinal alterations in QOL; durations were defined relative to time since CR1 (&lt;1 year, 1 to 2 years, 3 to 5 years, and 6 years or more).
&lt;Overall&gt;
Alive after HCT (overall) 0.74 / Alive after HCT (no GVHD) 0.79 / Alive after HCT (with GVHD) 0.67 / Alive after chemotherapy 0.71
&lt;less than 1 year&gt;
Alive after HCT (overall) 0.59 / Alive after HCT (no GVHD) 0.51 / Alive after HCT (with GVHD) 0.71 / Alive after chemotherapy 0.60
&lt;1 to 2 years&gt;
Alive after HCT (overall) 0.75 / Alive after HCT (no GVHD) 0.77 / Alive after HCT (with GVHD) 0.73 / Alive after chemotherapy 0.68
&lt;3 to 5 years&gt;
Alive after HCT (overall) 0.74 / Alive after HCT (no GVHD) 0.81 / Alive after HCT (with GVHD) 0.67 / Alive after chemotherapy 0.74
&lt;more than 5 years&gt;
Alive after HCT (overall) 0.76 / Alive after HCT (no GVHD) 0.83 / Alive after HCT (with GVHD) 0.63 / Alive after chemotherapy 0.74</t>
  </si>
  <si>
    <t>CEA/CUA</t>
  </si>
  <si>
    <t>Other</t>
  </si>
  <si>
    <t>Cost/HCRU</t>
  </si>
  <si>
    <t>Summary of Model</t>
  </si>
  <si>
    <t>ECON</t>
  </si>
  <si>
    <t>Summary Place Holder</t>
  </si>
  <si>
    <t>RWE</t>
  </si>
  <si>
    <t>AML patients with low blast count and higher-risk MDS patients; Patients with secondary MDS and AML, received previous chemotherapy for non-myeloid malignancy</t>
  </si>
  <si>
    <t>AML patients with low blast count, and MDS (Int-2 or high risk) and CMML patients ; NR</t>
  </si>
  <si>
    <t>AML patients with low blast count; NR</t>
  </si>
  <si>
    <t>higher risk MDS or AML with low blast count; NR</t>
  </si>
  <si>
    <t>AML patients with low blast count, and MDS and CMML patients ; NR</t>
  </si>
  <si>
    <t>AML patients with low blast count, and MDS and CMML patients ; Patients ineligible for other treatment</t>
  </si>
  <si>
    <t>AML patients with low blast count and higher-risk MDS patients; AML patients with BM blasts 21-30% blasts</t>
  </si>
  <si>
    <t>AML patients with low/high blast count and MDS patients; Patients treated with azacitidine for AML/MDS, previously treatd with chemotherapy and/or radiotherapy for primary maliganacy</t>
  </si>
  <si>
    <t>AML patients with low/high blast count; Elderly, treated with AZA</t>
  </si>
  <si>
    <t xml:space="preserve">AML patients with low/high blast count; Newly diagnosed and previously untreated </t>
  </si>
  <si>
    <t>AML patients with high/low blast count; Treated with azacitidine</t>
  </si>
  <si>
    <t>AML patients with high/low blast count; Patients aged over 65 years undergoing AZA as first line treatment</t>
  </si>
  <si>
    <t>AML patients with high/low blast count; Aged 60 years or over, de novo or secondary AML are included, unfit for intensive chemotherapy regimens</t>
  </si>
  <si>
    <t>AML patients with high/low blast count; Patients 60 years-old or older treated with at least one dose of AZA</t>
  </si>
  <si>
    <t>AML patients with high/low blast count and MDS-RAEB2 patients; Patients must be above 60 years of age, being a newly diagnosed and no history of prior hemathological disease and received at least four course of azacitidine containing chemotherapy regimen</t>
  </si>
  <si>
    <t>AML patients with high/low blast count; All registered patients aged 60 years or older diagnosed with an untreated non-M3 AML</t>
  </si>
  <si>
    <t>AML patients with low/high blast count; NR</t>
  </si>
  <si>
    <t>AML patients with low/high blast count; AML patient, previously untreated (i.e., who had received no prior intensive chemotherapy, LDAC, hypomethylating agents, or allogeneic SCT)</t>
  </si>
  <si>
    <t>AML patients with low/high blast count; AML patients, &gt;= 60 years</t>
  </si>
  <si>
    <t>AML patients with low/high blast count; AML patients, age &gt;= 60 years, ECOG performance status (PS) 0–2 adequate
cardiac, renal and hepatic function, and the absence of uncontrolled
infections</t>
  </si>
  <si>
    <t>AML patients with high blast count; AML patients with BM blasts &gt;=30%</t>
  </si>
  <si>
    <t xml:space="preserve">; </t>
  </si>
  <si>
    <t>AML patients with high blast count; NR</t>
  </si>
  <si>
    <t>OS</t>
  </si>
  <si>
    <t>Response</t>
  </si>
  <si>
    <t>Treatment Pattern</t>
  </si>
  <si>
    <t>Full Reference</t>
  </si>
  <si>
    <t>Author</t>
  </si>
  <si>
    <t>Source</t>
  </si>
  <si>
    <t>Abu-Taleb FM, Mansour OM, Khorshid OLAMR, Abdel Raheem A. Low dose cytarabine with or without anthracycline in the induction treatment of elderly patients with acute myeloid leukemia. European Journal of Cancer. 2013 Sep;49:S850.</t>
  </si>
  <si>
    <t>Abu-Taleb F.M.
Mansour O.M.
Khorshid O.L.A.M.R.
Abdel Raheem A.</t>
  </si>
  <si>
    <t>European Journal of Cancer. Conference: European Cancer Congress 2013, ECC 2013. Amsterdam Netherlands. Conference Publication: (var.pagings). 49 (pp S850), 2013. Date of Publication: September 2013.</t>
  </si>
  <si>
    <t>Background: AML is disease of elderly with overall survival (OAS) less than 12 months despite improved supportive care and novel agents due to both host and disease biology that affect the ability to tolerate chemotherapy. Standard remission induction therapy achieve complete remission (CR) rates 40% in older AML adults at a price of a high treatmentrelated mortality that approaches 25%. Aim: Comparing the outcome of low dose Cytarabine (LDAC) plus Doxorubicin versus LDAC in elderly AML patients. Methods: This is a prospective randomized trial where 90 patients with de novo AML aged &gt;=60 years, ECOG Performance status &lt;=2, left ventricular ejection fraction &gt;=60%, adequate liver &amp; renal function were randomized to receive induction either with LDAC 20 mg/m&lt;sup&gt;2&lt;/sup&gt; s.c. D1-14 (arm 1) or with LDAC 20 mg/m&lt;sup&gt;2&lt;/sup&gt; s.c. D1-14 + Doxorubicin 25 mg/m&lt;sup&gt;2&lt;/sup&gt; i.v. D1-2 (2+14 regimen) (arm 2), Patients who achieve CR in both groups received consolidation therapy in the form of three more cycles of the induction regimen 2+14 regimen, with 45 patients in each arm, with a 1ry end point of CR, OAS and 2ry endpoints of quality of life, hospital admission for blood product transfusions. NCCN response criteria were used to define response to induction therapy, toxicity was recorded according to WHO criteria. Results: Patients characteristics were evenly matched with higher RR 53.4% in arm 2, compared to 26.6% in arm 1 with higher CR 7 (15.6%) patients in arm 2 compared to 2 (4.4%) patients in arm 1 p = 0.027, toxic early death was 2.2% in arm 1 compared to 11% in arm 2, regarding toxicity neutropenia was higher in arm 2 with grade 3 in 66.7%, grade 4 in 33.3% compared to arm 1 where 46.7% had grade 2, 42.2% grade 3, 11.1% with grade 4. The median survival for arm 2 was 9 months, compared to 6 months in arm 1 after a follow up period of 24 months. There were significant reduction in the number of patients who were admitted to the hospital for blood transfusion 8 (17.7%) patients in arm 2 compared to 27 (60%) patients in arm 1. Significantly shorter admission duration for transfusion in favor of arm 2 P&lt;0.001. Conclusion: We met the 1ry end points with a higher CR and longer OS with the 2+14 arm 2 regimen compared to LDAC arm 1 with improvement in quality of life in form of reduction in hospital admission for blood transfusion.</t>
  </si>
  <si>
    <t>Dombret_Blood_2015</t>
  </si>
  <si>
    <t>Dombret H, Seymour JF, Butrym A, Wierzbowska A, Selleslag D, Jang JH, Kumar R, Cavenagh J, Schuh AC, Candoni A, Recher C, Sandhu I, Bernal del Castillo T, Al-Ali HK, Martinelli G, Falantes J, Noppeney R, Stone RM, Minden MD, McIntyre H, Songer S, Lucy LM, Beach CL, Dohner H. International phase 3 study of azacitidine vs conventional care regimens in older patients with newly diagnosed AML with &gt;30% blasts. Blood. 2015;126(3):291-299.</t>
  </si>
  <si>
    <t>Dombret H, Seymour JF, Butrym A, Wierzbowska A, Selleslag D, Jang JH, Kumar R, Cavenagh J, Schuh AC, Candoni A, Recher C, Sandhu I, Bernal del Castillo T, Al-Ali HK, Martinelli G, Falantes J, Noppeney R, Stone RM, Minden MD, McIntyre H, Songer S, Lucy LM, Beach CL, Dohner H</t>
  </si>
  <si>
    <t>Blood.  126(3):291-299, 2015.</t>
  </si>
  <si>
    <t>International phase 3 study of azacitidine vs conventional care regimens in older patients with newly diagnosed AML with &gt;30% blasts</t>
  </si>
  <si>
    <t>This multicenter, randomized, open-label, phase 3 trial evaluated azacitidine efficacy and safety vs conventional care regimens (CCRs) in 488 patients age &gt;65 years with newly diagnosed acute myeloid leukemia (AML) with &gt;30% bone marrow blasts. Before randomization, a CCR (standard induction chemotherapy, low-dose ara-c, or supportive care only) was preselected for each patient. Patients then were assigned 1:1 to azacitidine (n = 241) or CCR (n = 247). Patients assigned to CCR received their preselected treatment. Median overall survival (OS) was increased with azacitidine vs CCR: 10.4 months (95% confidence interval [CI], 8.0-12.7 months) vs 6.5 months (95% CI, 5.0-8.6 months), respectively (hazard ratio [HR] was 0.85; 95% CI, 0.69-1.03; stratified log-rank P = .1009). One-year survival rates with azacitidine and CCR were 46.5% and 34.2%, respectively (difference, 12.3%; 95% CI, 3.5%-21.0%). A prespecified analysis censoring patients who received AML treatment after discontinuing study drug showed median OS with azacitidine vs CCR was 12.1 months (95% CI, 9.2-14.2 months) vs 6.9 months (95% CI, 5.1-9.6 months; HR, 0.76; 95% CI, 0.60-0.96; stratified log-rank P = .0190). Univariate analysis showed favorable trends for azacitidine compared with CCR across all subgroups defined by baseline demographic and disease features. Adverse events were consistent with the well-established safety profile of azacitidine. Azacitidine may be an important treatment option for this difficult-to-treat AML population. This trial was registered at www.clinicaltrials.gov as #NCT01074047.</t>
  </si>
  <si>
    <t>Nand S, Godwin J, Smith S, Barton K, Michaelis L, Alkan S, Veerappan R, Rychlik K, Germano E, Stiff P. Leukemia &amp; Lymphoma. 49(11):2141-7, 2008 Nov.</t>
  </si>
  <si>
    <t>Nand S; Godwin J; Smith S; Barton K; Michaelis L; Alkan S; Veerappan R; Rychlik K; Germano E; Stiff P</t>
  </si>
  <si>
    <t>Leukemia &amp; Lymphoma. 49(11):2141-7, 2008 Nov.</t>
  </si>
  <si>
    <t>Elderly patients with acute myeloid leukemia (AML) and high-risk myelodysplastic syndromes (MDS) have a poor prognosis due to low response rates (26-46%) to standard chemotherapy and high treatment-related mortality (11-31%). In this Phase II study, we used a combination of hydroxyurea (HU), azacitidine and low dose gemtuzumab ozogamicin (GO) to assess its efficacy and toxicity in this group of patients. Twenty patients with non-M3 AML and MDS were treated with this regimen. The treatment was begun with HU 1500 mg orally twice daily to lower white blood cell count below 10,000/microL, followed by azacitidine 75 mg/m(2) subcutaneously for 7 days and GO 3 mg/m(2) on day 8. Patients who achieved complete remission (CR) received a consolidation course. The median age of patients was 76 years. Eleven patients (55%) were treated in the outpatient setting. Fourteen (70%) achieved a CR, three of which were incomplete (CRi). The median duration of remission was 8 months and median survival was 10 months. Performance status of 0-1 was associated with high complete response rate. Overall toxicity was acceptable with only one (5%) early death due to disease progression. The combination of HU, azacitdine and GO appears to be a safe and effective regimen in the treatment of AML and high risk MDS in the elderly. These results need to be confirmed in a larger cohort of patients.</t>
  </si>
  <si>
    <t>Seymour J.F. Dohner H. Minden M.D. Stone R. Gambini D. Dougherty D. Beach C.L. Weaver J. Dombret H. Incidence rates of treatment-emergent adverse events and related hospitalization are reduced with azacitidine compared with conventional care regimens in older patients with acute myeloid leukemia. Leukemia and Lymphoma. 58 (6) (pp 1412-1423), 2017.</t>
  </si>
  <si>
    <t>Seymour J.F.
Dohner H.
Minden M.D.
Stone R.
Gambini D.
Dougherty D.
Beach C.L.
Weaver J.
Dombret H.</t>
  </si>
  <si>
    <t>Leukemia and Lymphoma. 58 (6) (pp 1412-1423), 2017. Date of Publication: 03 Jun 2017.</t>
  </si>
  <si>
    <t>Relative risks of treatment-emergent adverse events (TEAEs) and related hospitalization is most accurate when accounting for treatment exposure. AZA-AML-001 showed azacitidine (AZA) prolonged overall survival versus conventional care regimens (CCR) in older patients (&gt;=65 years) with acute myeloid leukemia (AML) by 3.9 months. Preselection of CCR before study randomization allows evaluation of AZA safety in patient subgroups with similar clinical features. Within preselection groups, AZA exposure was greater than each CCR. Incidence rates (IRs; numbers of events normalized for drug exposure time) of hospitalizations and days in hospital for TEAEs per patient-year of exposure were to varying degrees lower with AZA versus each CCR. Overall survival was significantly prolonged with AZA versus best supportive care (BSC) in AZA-AML-001; this analysis showed 55% and 41% reductions in IRs of TEAE-related hospitalization and days in hospital, respectively, with AZA versus BSC. Older patients with AML unable to tolerate intensive therapy should be offered active low-intensity treatment.
Copyright © 2016 Informa UK Limited, trading as Taylor &amp; Francis Group.</t>
  </si>
  <si>
    <t>Dass RN, Howes A, Spencer M, Xiu L, Thomas XG, Al-Dakkak I. Decitabine reduces transfusion dependence in older patients with acute myeloid leukaemia: Results from a post-HOC analysis of a randomised phase III trial. Value in Health. 2012 Nov;15(7):A431.</t>
  </si>
  <si>
    <t>Dass R.N.
Howes A.
Spencer M.
Xiu L.
Thomas X.G.
Al-Dakkak I.</t>
  </si>
  <si>
    <t>Value in Health. Conference: ISPOR 15th Annual European Congress. Berlin Germany. Conference Publication: (var.pagings). 15 (7) (pp A431), 2012. Date of Publication: November 2012.</t>
  </si>
  <si>
    <t>OBJECTIVES: The incidence of acute myeloid leukaemia (AML) increases with age; older patients have limited treatment options and poorer outcomes. Dependence on blood transfusions (correcting anaemia and preventing bleeding) and repeated hospitalisation reduce health-related quality of life and increase treatment expenditure. This post-hoc analysis assessed the impact of decitabine on transfusion dependence. METHODS: The DACO-16 phase III trial (NCT00260832) was conducted in newly-diagnosed AML patients (&gt;=65 years; N=485) (Kantarjian, JCO; ePub 11Jun2012). Every 4 weeks, patients received decitabine (DACOGEN) 20 mg/m2 (1-h intravenously; 5 successive days) or treatment choice with physician's advice (TC) with supportive care or cytarabine (20 mg/m2 subcutaneously daily; 10 successive days). Treatment duration was longer in the DACOGEN than TC arm (median: 4 cycles vs. 2 cycles). We measured red blood cell (RBC) and platelet (PLT) transfusion- independence (no transfusions for&gt;=8 consecutive weeks) and hospitalisation length (% hospital nights relative to treatment days) in both DACOGEN (n=242) and TC (n=243) arms. RESULTS: In patients who were PLT transfusion-dependent at baseline (85 in DACOGEN and 83 in TC arms), more became transfusion-independent in the DACOGEN arm (26 [31%]) than the TC arm (11 [13%]) (p=0.0069). Likewise, in RBC transfusion-dependent patients at baseline (168 in DACOGEN and 162 in TC arms), transfusion-independence was higher for DACOGEN (44 [26%]) than TC (21 [13%]) (p=0.0026). For hospitalised patients (182 in TC, 191 in DACOGEN arms), the median % of hospital nights was higher in the TC arm (39%) than the DACOGEN arm (34%). Similarly, for adverse event-hospitalised patients (100 in TC, 132 in DACOGEN arms), the median was 20.0% vs. 17.5% in the TC and DACOGEN arms, respectively. CONCLUSIONS: Dacogen leads to a statistically-significant reduction in transfusion-dependence, when compared with TC. This reduction is an important factor in the economic and humanistic burden of AML in older patients.</t>
  </si>
  <si>
    <t>Aggarwal S, Kumar S, Topaloglu O. Hospital Lenght of Stay and Costs In Patients with Acute Myeloid Leukemia: Analysis of US National In-Patient Data for 2015. Value in Health. 2018 May 1;21:S23.</t>
  </si>
  <si>
    <t>Aggarwal S, Kumar S, Topaloglu O.</t>
  </si>
  <si>
    <t>Value in Health. 2018 May 1;21:S23.</t>
  </si>
  <si>
    <t>Hospital length of stay and costs in patients with acute myeloid leukemia: analysis of us national in-patient data for 2015</t>
  </si>
  <si>
    <t>OBJECTIVES: To examine trends in hospital length of stay and total costs in patients with AML. METHODS: The latest available 2015 National Inpatient Sample (NIS) data set of hospital admissions from the Healthcare Cost and Utilization Project was utilized in order to determine the number of hospital admissions for patients with AML (identified by ICD-9 for Q1-Q3 and ICD-10 codes for Q4). The LOS and costs were compared by payer type, race, gender and age groups.&lt;p&gt;&lt;/p&gt; RESULTS: Based on our inclusion criteria we found 12,634 admissions, representing 0.146% of all hospitalizations. The mean age was 57.3 years (SD: 20.19, median 62 years). The mean LOS was 13.04 days (SD: 15.76 days, Median: 6 days). While majority of the hospitalizations were in patients age &gt;60 years (55%), the LOS was longest for children, followed by adults age 45-59. Mean (SD) LOS by age: 0-18: 20.22 days (20.31, n=532), 18-45: 13.49 days (18.58, n=1618), 45-59: 15.15 days (16.62, n=2110) and 60+: 11.32 days (13.43, n=5216).&lt;p&gt;&lt;/p&gt; Interestingly, the mean LOS was shortest for Medicare 10.54 days (12.54), while it was similar for Medicaid and Private payers: 15.37 days (17.74) and 15.06 days (18.01), respectively. The overall mean cost was $141,407 (SD: $225,215). Mean (SD) charges by age: 0-18: $238,092 (SD: $391,443), 18-45: $155,482 (SD: $251,028), 45-59: $170,983 (SD: $247,822) and 60+: $115,216 (SD: $173,559). Similar to LOS, the total charges were lowest for Medicare $107,913 (SD: $165,576), while charges were similar for Medicaid and Private payers: $174,545 (SD: $284,624) and $166,731 (SD: $253,656), respectively. LOS and charges did not significantly vary by gender or race. CONCLUSIONS: Patients with AML incur high costs for public and private payers, mainly due to long length of stay. New treatments with shorter LOS could potentially lower the economic burden by offsetting high cost of hospitalization.</t>
  </si>
  <si>
    <t>Amadori S, Suciu S, Selleslag D, Stasi R, Alimena G, Baila L, Rizzoli V, Borlenghi E, Gaidano G, Magro D, Torelli G, Muus P, Venditti A, Cacciola E, Lauria F, Vignetti M, de Witte T. British Journal of Haematology. 149(3):376-82, 2010 May.</t>
  </si>
  <si>
    <t>Amadori S; Suciu S; Selleslag D; Stasi R; Alimena G; Baila L; Rizzoli V; Borlenghi E; Gaidano G; Magro D; Torelli G; Muus P; Venditti A; Cacciola E; Lauria F; Vignetti M; de Witte T</t>
  </si>
  <si>
    <t>British Journal of Haematology. 149(3):376-82, 2010 May.</t>
  </si>
  <si>
    <t>This study compared two schedules of low-dose gemtuzumab ozogamicin (GO) as induction monotherapy for untreated acute myeloid leukaemia in older patients unfit for intensive chemotherapy, to identify the more promising regimen for further study. Patients were randomized to receive either best supportive care or a course of GO according to one of two schedules: 3 mg/m(2) on days 1, 3 and 5 (arm A), or GO 6 mg/m(2) on day 1 and 3 mg/m(2) on day 8 (arm B). Primary endpoint was the rate of disease non-progression (DnP), defined as the proportion of patients either achieving a response or maintaining a stable disease following GO induction in each arm. Fifty-six patients were randomized in the two GO arms (A, n = 29; B, n = 27). The rate of DnP was 38% [90% confidence interval (CI), 23-55] in arm A, and 63% (90% CI, 45-78) in arm B. Peripheral cytopenias were the most common adverse events for both regimens. The all-cause early mortality rate was 14% in arm A and 11% in arm B. The day 1 + 8 schedule, which was associated with the highest rate of DnP, met the statistical criteria to be selected as the preferred regimen for phase III comparison with best supportive care.</t>
  </si>
  <si>
    <t>Amadori S, Suciu S, Selleslag D, Aversa F, Gaidano G, Musso M, Annino L, Venditti A, Voso MT, Mazzone C, Magro D, De Fabritiis P, Muus P, Alimena G, Mancini M, Hagemeijer A, Paoloni F, Vignetti M, Fazi P, Meert L, Ramadan SM, Willemze R, de Witte T, Baron F. Journal of Clinical Oncology. 34(9):972-9, 2016 Mar 20.</t>
  </si>
  <si>
    <t>Amadori S; Suciu S; Selleslag D; Aversa F; Gaidano G; Musso M; Annino L; Venditti A; Voso MT; Mazzone C; Magro D; De Fabritiis P; Muus P; Alimena G; Mancini M; Hagemeijer A; Paoloni F; Vignetti M; Fazi P; Meert L; Ramadan SM; Willemze R; de Witte T; Baron F</t>
  </si>
  <si>
    <t>Journal of Clinical Oncology. 34(9):972-9, 2016 Mar 20.</t>
  </si>
  <si>
    <t>PURPOSE: To compare single-agent gemtuzumab ozogamicin (GO) with best supportive care (BSC) including hydroxyurea as first-line therapy in older patients with acute myeloid leukemia unsuitable for intensive chemotherapy.
PATIENTS AND METHODS: In this trial, patients at least 61 years old were centrally randomized (1:1) to receive either a single induction course of GO (6 mg/m(2) on day 1 and 3 mg/m(2) on day 8) or BSC. Patients who did not progress after GO induction could receive up to eight monthly infusions of the immunoconjugate at 2 mg/m(2). Randomization was stratified by age, WHO performance score, CD33 expression status, and center. The primary end point was overall survival (OS) by intention-to-treat analysis.
RESULTS: A total of 237 patients were randomly assigned (118 to GO and 119 to BSC). The median OS was 4.9 months (95% CI, 4.2 to 6.8 months) in the GO group and 3.6 months (95% CI, 2.6 to 4.2 months) in the BSC group (hazard ratio, 0.69; 95% CI, 0.53 to 0.90; P = .005); the 1-year OS rate was 24.3% with GO and 9.7% with BSC. The OS benefit with GO was consistent across most subgroups, and was especially apparent in patients with high CD33 expression status, in those with favorable/intermediate cytogenetic risk profile, and in women. Overall, complete remission (CR [complete remission] + CRi [CR with incomplete recovery of peripheral blood counts]) occurred in 30 of 111 (27%) GO recipients. The rates of serious adverse events (AEs) were similar in the two groups, and no excess mortality from AEs was observed with GO.
CONCLUSION: First-line monotherapy with low-dose GO, as compared with BSC, significantly improved OS in older patients with acute myeloid leukemia who were ineligible for intensive chemotherapy. No unexpected AEs were identified and toxicity was manageable. Copyright © 2016 by American Society of Clinical Oncology.</t>
  </si>
  <si>
    <t>Atalay F, Atesoglu EB, et al. Indian Journal of Hematology and Blood Transfusion. 32 (1) (pp 46-53), 2016. Date of Publication: 01 Mar 2016.</t>
  </si>
  <si>
    <t>Atalay F._x000D_
_x000D_
Atesoglu E.B.</t>
  </si>
  <si>
    <t>Indian Journal of Hematology and Blood Transfusion. 32 (1) (pp 46-53), 2016. Date of Publication: 01 Mar 2016.</t>
  </si>
  <si>
    <t>Low Dose Cytosine Arabinoside and Azacitidine Combination in Elderly Patients with Acute Myeloid Leukemia and Refractory Anemia with Excess Blasts (MDS-RAEB2).</t>
  </si>
  <si>
    <t>Only one-third of elderly (&gt;60 years) AML and MDS-RAEB2 patients may receive intensive chemotherapy treatment alternatives that are limited in this patient group due to the potential of severe toxicity. Previous studies have shown that azacitidine and low dose cytarabine treatments may be a beneficial treatment option for these patients. In this study, we aimed to good results with low toxicity in elderly patients. We retrospectively analyzed the AML and MDS-RAEB2 patients who received azacitidine monotherapy and azacitidine and LDL-ara-c combination therapy for a comparison of their response to therapy, survival rates, and toxicity rates and for determining the factors that could affect their overall survival. A total of 27 patients who were diagnosed with de novo AML and MDS-RAEB2 and who received at least four cycles of chemotherapy were included in the study, and the data were evaluated retrospectively. When monotherapy and combination therapy groups were compared, the pretreatment bone marrow blast count was observed to be greater in the combination therapy group. A statistically significant difference was not detected between the groups regarding the response to therapy ratios (p = 0.161) (42.9 and 57.1 %, respectively). No difference was detected between the groups regarding therapy-related toxicity. Infections were the most common complication. Progression-free survival was 30.3 % for the azacitidine monotherapy group and 66.7 % for the combination (azacitidine + LD-ara-c) group. The factors influencing the overall survival rate were determined based on the response to the first-line therapies, more than a grade 2 infection, fever, and relapse in a multi-variance analysis. The combination therapy may be a well-tolerated treatment option for the elderly, vulnerable AML patients whose blast count is high in response to therapy rates, overall survival rates, and toxicities are not different, although the pre-treatment bone marrow blast count was greater in the combination therapy groups compared with the monotherapy group._x000D_
Copyright © 2015, Indian Society of Haematology &amp; Transfusion Medicine.</t>
  </si>
  <si>
    <t>Bally C, Thepot S, et al. Leukemia Research. 37(6):637-40, 2013 Jun.</t>
  </si>
  <si>
    <t>Bally C_x000D_
_x000D_
Thepot S_x000D_
_x000D_
Quesnel B_x000D_
_x000D_
Vey N_x000D_
_x000D_
Dreyfus F_x000D_
_x000D_
Fadlallah J_x000D_
_x000D_
Turlure P_x000D_
_x000D_
de Botton S_x000D_
_x000D_
Dartigeas C_x000D_
_x000D_
de Renzis B_x000D_
_x000D_
Itzykson R_x000D_
_x000D_
Fenaux P_x000D_
_x000D_
Ades L</t>
  </si>
  <si>
    <t>Leukemia Research. 37(6):637-40, 2013 Jun.</t>
  </si>
  <si>
    <t>The effect of azacitidine (AZA) in therapy related MDS and AML (t-MDS/AML) is not well established. 54 patients (42 t-MDS and 12 t-AML), 71% of whom had complex karyotype, received AZA for at least one cycle (median 4 cycles). The overall response rate (ORR) was 39% in the whole cohort and 62% in patients who received &gt;=4 cycles. One, 2 and 3 year OS was 36%, 14% and 8% respectively. Female gender (p=0.01) and ECOG 0-1 (p=0.04) were associated with significantly better OS, while karyotype and marrow blast percentage had no significant impact. By comparison with de novo MDS/AML treated in the same program, t-MDS/AML had a similar response rate (38% vs 45% in de novo MDS/AML, p=0.53), but significantly shorter OS (2 year OS of 14% vs 33.9%, p=0.0005). However, in a multivariate analysis performed in all patients (de novo and therapy related cases), only complex karyotype and high IPSS, and not etiology (i.e. de novo versus therapy related), had a significant impact on OS. Nine (15%) patients received allogeneic stem cell transplantation, 4 of whom were still alive._x000D_
Copyright © 2013 Elsevier Ltd. All rights reserved.</t>
  </si>
  <si>
    <t xml:space="preserve">Batty N. Yin Y. Wiles S. Decitabine is more cost effective than cytarabine and daunorubicin in elderly acute myeloid leukemia patients. J Cancer Res Ther 2014, 2(4):68-73.
</t>
  </si>
  <si>
    <t xml:space="preserve">Batty N.
Yin Y.
Wiles S.
</t>
  </si>
  <si>
    <t>J Cancer Res Ther 2014, 2(4):68-73.</t>
  </si>
  <si>
    <t>Introduction: Decitabine is not approved in the United States (US) for acute myeloid leukemia (AML) because it did not improve overall survival compared with standard conventional induction treatment with cytarabine and daunorubicin (AD). We asked what would be the cost effectiveness of decitabine versus AD in AML patients older than 60 years of age. Methods: A semi-Markov model compiling survival and cost data was used based on survival probabilities from the literature. Data accounted for re-induction therapy with idarubicin, fludarabine, cytarabine and granulocyte colonystimulating factor and consolidation therapy with high-dose cytarabine (HiDAC) but not for stem cell transplantation. The assumption-based model considered a maximum of four cycles of HiDAC and continuing decitabine until loss of benefit. Results: Assuming 1,000 patients for each treatment arm in a semi-Markov model over one year time horizon, the qualityadjusted life year (QALY) for AD vs. decitabine were 0.47 and 0.61. The percentage survival for AD and decitabine were 45.2% and 50.5%. Their costs were $168,863 and $108,084. The incremental cost-effectiveness ratio was -$60,779/0.14 =-$433,756 per QALY. By sensitivity analysis, decitabine was superior to AD in all parameters. Conclusion: Decitabine is a more cost-effective therapy for patients older than 60 years of age than AD. While cost effectiveness is certainly important, decitabine may be arguably considered for elderly newly diagnosed AML patients given the economic pressures in the US health system; however, this is not a criterion for drug approval.</t>
  </si>
  <si>
    <t>Beguin Y, Selleslag D, et al. Acta Clinica Belgica. 70(1):34-43, 2015 Feb.</t>
  </si>
  <si>
    <t>Beguin Y_x000D_
_x000D_
Selleslag D_x000D_
_x000D_
Meers S_x000D_
_x000D_
Graux C_x000D_
_x000D_
Bries G_x000D_
_x000D_
Deeren D_x000D_
_x000D_
Vrelust I_x000D_
_x000D_
Ravoet C_x000D_
_x000D_
Theunissen K_x000D_
_x000D_
Voelter V_x000D_
_x000D_
Potier H_x000D_
_x000D_
Trullemans F_x000D_
_x000D_
Noens L_x000D_
_x000D_
Mineur P</t>
  </si>
  <si>
    <t>Acta Clinica Belgica. 70(1):34-43, 2015 Feb.</t>
  </si>
  <si>
    <t>OBJECTIVES: We evaluated azacitidine (Vidaza()) safety and efficacy in patients with myelodysplastic syndrome (MDS), acute myeloid leukaemia (AML), and chronic myelomonocytic leukaemia (CMML), in a real-life setting. Treatment response, dose, and schedule were assessed._x000D_
_x000D_
METHODS: This non-interventional, post-marketing survey included 49/50 patients receiving azacitidine at 14 Belgian haematology centres from 2010-2012. Treatment-emergent adverse events (TEAEs), including treatment-related TEAEs, and serious TEAEs (TESAEs) were recorded throughout the study. Treatment response [complete response (CR), partial response (PR), haematological improvement (HI), stable disease (SD), treatment failure (TF)) and transfusion-independence (TI) were evaluated at completion of a 1-year observation period (1YOP) or at treatment discontinuation, and overall survival (OS), at study conclusion._x000D_
_x000D_
RESULTS: The median age of patients was 74.7 (range: 43.9-87.8) years; 69.4% had MDS, 26.5% had primary or secondary AML, and 4.1% had CMML. Treatment-related TEAEs, grade 3-4 TEAEs, and TESAEs were reported in 67.3%, 28.6%, and 18.4% of patients, respectively. During 1YOP, patients received a median of 7 (1-12) treatment cycles. Treatment response was assessed for 38/49 patients. Among MDS and CMML patients (n = 29), 41.4% had CR, PR, or HI, 41.4% had SD, and 17.2% had TF. Among AML patients (n = 9), 44.4% had CR or PR, 33.3% had SD, and 22.2% had TF. TI was observed in 14/32 (43.8%) patients who were transfusion-dependent at baseline. Median (95% confidence interval) OS was 490 (326-555) days; 1-year OS estimate was 0.571 (0.422-0.696)._x000D_
_x000D_
CONCLUSIONS: Our data support previous findings that azacitidine has a clinically acceptable safety profile and shows efficacy.</t>
  </si>
  <si>
    <t>Bories P, Bertoli S, et al. American Journal of Hematology. 89(12):E244-52, 2014 Dec.</t>
  </si>
  <si>
    <t>Bories P_x000D_
_x000D_
Bertoli S_x000D_
_x000D_
Berard E_x000D_
_x000D_
Laurent J_x000D_
_x000D_
Duchayne E_x000D_
_x000D_
Sarry A_x000D_
_x000D_
Delabesse E_x000D_
_x000D_
Beyne-Rauzy O_x000D_
_x000D_
Huguet F_x000D_
_x000D_
Recher C</t>
  </si>
  <si>
    <t>American Journal of Hematology. 89(12):E244-52, 2014 Dec.</t>
  </si>
  <si>
    <t>We assessed in a French regional healthcare network the distribution of treatments, prognostic factors, and outcome of 334 newly diagnosed acute myeloid leukemia patients aged 60 years or older over a 4-year period of time (2007-2010). Patients were selected in daily practice for intensive chemotherapy (n = 115), azacitidine (n = 95), or best supportive care (n = 124). In these three groups, median overall survival was 18.9, 11.3, and 1.8 months, respectively. In the azacitidine group, multivariate analysis showed that overall survival was negatively impacted by higher age (P = 0.010 for one unit increase), unfavorable cytogenetics (P = 0.001), lymphocyte count &lt;0.5 G/L (P = 0.015), and higher lactate dehydrogenase level (P = 0.005 for one unit increase). We compared the survival of patients treated by azacitidine versus intensive chemotherapy and best supportive care using time-dependent analysis and propensity score matching. Patients treated by intensive chemotherapy had a better overall survival compared with those treated by azacitidine from 6 months after diagnosis, whereas patients treated by azacitidine had a better overall survival compared with those treated by best supportive care from 1 day after diagnosis. This study of "real life" practice shows that there is a room for low intensive therapies such as azacitidine in selected elderly acute myeloid leukemia patients._x000D_
Copyright © 2014 Wiley Periodicals, Inc.</t>
  </si>
  <si>
    <t>Cat Bui, Thomas Marshall,Rajesh Kamalakar et al. Blood. Conference: 60th Annual Meeting of the American Society of Hematology, ASH 2018.</t>
  </si>
  <si>
    <t>Cat Bui, PhD, Thomas Marshall, PharmD, MS, Rajesh Kamalakar, MS, Tracey Posadas, PharmD, MPH and Jalaja Potluri, MD</t>
  </si>
  <si>
    <t>Blood. Conference: 60th Annual Meeting of the American Society of Hematology, ASH 2018.</t>
  </si>
  <si>
    <t>Background: Newly diagnosed acute myeloid leukemia (ND AML) patients (pts) ineligible for intensive chemotherapy have limited treatment options. Most commonly used low intensity regimens are azacitidine (AZA), decitabine (DEC), or low-dose cytarabine (LDAC). These patients often have low blood counts that may contribute to poor quality of life (QoL) due to high risk for infections and may require transfusion of blood products. The objective of this study was to describe the patient characteristics, treatment patterns, and quantify the clinical outcomes (i.e., transfusion requirements infections and hospitalizations (hosp) among ND AML pts ineligible for intensive chemotherapy who received currently available therapies as first-line (1L) treatment in a real-world cohort._x000D_
_x000D_
Methods: Eligible pts were found in the de-identified Optum Clinformatics Data Mart between 1/1/2010 and 6/30/2017 and had the following: AML at 2 encounters (ICD-9/10 codes) at least 30 days apart,  60 yrs. at diagnosis (dx), and 6 months (mo) benefit coverage before and  3 mo post dx. 1L treatment date (tx-index) was the date of first monotherapy (AZA, DEC, or LDAC) after AML diagnosis. 1L treatment duration was from tx-index to the end of study (EOS) defined as either end of 1L treatment, end of benefit coverage, relapse, or 12/31/2017. Transfusion independence (TI) during 1L treatment was defined as having neither platelets nor red blood cells (RBC) for 56 consecutive days (56-day TI). Patients with &lt; 56 days of observation time from tx-index were not classified as achieving 56-day TI. During 1L treatment, transfusion support was defined as patients receiving either platelets and/or RBC regardless whether or not patients achieved 56-day TI. Sample selection and creation of analytic variables were performed using the Instant Health Data (IHD) platform (BHE, Boston, MA). Statistical analyses were undertaken with SAS software version 9.4 (SAS Institute Inc., Cary, NC, USA)._x000D_
_x000D_
Results: Among 785 eligible pts, 82.0% had Medicare Advantage, 59.2% were male, and the mean (median; range) age was 74.7 (75.0; range 60.0-89.0) yrs. The mean (median; range) baseline comorbidity score (measured by Quan Charlson Comorbidity Index, CCI) was 1.5 (1.0; 0-11), with an available follow-up period of 13.6 (10.6; 3.0-88.5) mo._x000D_
_x000D_
As1L treatment, majority of pts received AZA (n=422, 53.8%) followed by DEC (n=337, 43.0%) and LDAC (n=26, 3.3%) and the mean (median; range) duration of treatment was 5.6 (3.7; 0.03-52.0) mo. A total of 4.5% (35) patients had major or minor GI hemorrhage, 1.9% (15) brain hemorrhage, and 48.7% (382) had infections of all grades (AZA: 202/422, 47.9%; DEC: 170/337, 50.5%; LDAC: 10/26, 38.5%)._x000D_
_x000D_
Prior to receiving 1L treatment, 48.0% (377/785) of patients required transfusion of either platelets and/or RBC (Table 1). During 1L treatment, 73.3% (575) of pts received transfusion support with a mean (median; range) of 8.5 (5.0; 1-181) transfusions of either platelets and/or RBC. Among 377 patients with transfusion support prior to 1L treatment, 33.7% (127/377) of patients achieved  56-day TI during 1L treatment (Table 1)._x000D_
_x000D_
Multivariate logistic regression showed pts with baseline transfusion requirement were less likely to achieve 56 consecutive day TI during 1L treatment vs. pts without baseline transfusion requirements (33.7% vs. 58.6%; OR = 0.37; 95% CI = 0.27  0.50; P &lt; 0.001) with the current treatments._x000D_
_x000D_
Among 785 patients during 1L treatment, the mean (median; range) number of hospitalizations was 0.91 (1.0; 0-8). A total of 53.1% (417) had  1 hospitalization; the mean (median; range) length of an inpatient stay was 10.9 (7.0; 1-97) days for these patients; and 49.4% (206), 75.1% (313), and 87.3% (364) of patients were admitted within 30, 60, 90 days of tx-index, respectively._x000D_
_x000D_
Conclusions: This real-world study in ND AML patients showed transfusion burden on patients with the currently available non-intensive treatment with AZA and DEC being the most commonly used agents. Most (61.5%-80.1%) of the pts required transfusions for platelets and /or RBC and less than 40% (0%-38.6%) of the patients with baseline transfusion requirement achieved 56 consecutive days of transfusion independence anytime while receiving their 1L treatment. Additional research is warranted to understand the correlation between response to treatment and transfusion independence and subsequent impact on hospitalization and infections.</t>
  </si>
  <si>
    <t>Burnett AK, Russell NH, Hunter AE, Milligan D, Knapper S, Wheatley K, Yin J, McMullin MF, Ali S, Bowen D, Hills RK. Clofarabine doubles the response rate in older patients with acute myeloid leukemia but does not improve survival. Blood. 2013;122(8):1384-1394.</t>
  </si>
  <si>
    <t>Burnett A.K.
Russell N.H.
Hunter A.E.
Milligan D.
Knapper S.
Wheatley K.
Yin J.
McMullin M.F.
Ali S.
Bowen D.
Hills R.K.</t>
  </si>
  <si>
    <t>Blood. 122 (8) (pp 1384-1394), 2013. Date of Publication: 2013.</t>
  </si>
  <si>
    <t>Clofarabine doubles the response rate in older patients with acute myeloid leukemia but does not improve survival.</t>
  </si>
  <si>
    <t>Better treatment is required for older patients with acute myeloid leukemia (AML) not considered fit for intensive chemotherapy. We report a randomized comparison of low-dose Ara-C (LDAC) vs the novel nucleoside, clofarabine, in untreated older patients with AML and high-risk myelodysplastic syndrome (MDS). A total of 406 patients with de novo (62%), secondary disease (24%), or high-risk MDS (&gt;10% marrow blasts) (15%), median age 74 years, were randomized to LDAC 20 mg twice daily for 10 days every 6 weeks or clofarabine 20 mg/m&lt;sup&gt;2&lt;/sup&gt; on days 1 to 5, both for up to 4 courses. These patients had more adverse demographics than contemporaneous intensively treated patients. The overall remission rate was 28%, and 2-year survival was 13%. Clofarabine significantly improved complete remission (22% vs 12%; hazard ratio [HR] = 0.47 [0.28-0.79]; P = .005) and overall response (38% vs 19%; HR = 0.41 [0.26-0.62]; P &lt; .0001), but there was no difference in overall survival explained by poorer survival in the clofarabine patients who did not gain complete remission and also following relapse Clofarabine was more myelosuppressive and required more supportive care. Although clofarabine doubled remission rates, overal survival was not improved overall or in any subgroup. The treatment of patients of the type treated here remains a major unmet need. This trial was registered at www.clinicaltrials.gov as #ISRCTN 11036523.
Copyright © 2013 by The American Society of Hematology.</t>
  </si>
  <si>
    <t>Burnett AK, Milligan D, Prentice AG, Goldstone AH, McMullin MF, Hills RK, Wheatley K. A comparison of low-dose cytarabine and hydroxyurea with or without all-trans retinoic acid for acute myeloid leukemia and high-risk myelodysplastic syndrome in patients not considered fit for intensive treatment. Cancer. 2007;109(6):1114-1124.</t>
  </si>
  <si>
    <t>Burnett AK, Milligan D, Prentice AG, Goldstone AH, McMullin MF, Hills RK, Wheatley K</t>
  </si>
  <si>
    <t>Cancer.  109(6):1114-1124, 2007.</t>
  </si>
  <si>
    <t>METHODS: Between December 1998 and November 2003, as part of National Cancer Research Institute Acute Myeloid Leukemia 14 Trial, 217 patients, who were deemed unfit for intensive chemotherapy were randomized to receive low-dose cytarabine (Ara-C) (20 mg twice daily for 10 days) or hydroxyurea with or without all-trans retinoic acid (ATRA).
RESULTS: Low-dose ara-C produced a better remission rate (18% vs 1%; odds ratio [OR], 0.15; 95% confidence interval [95% CI], 0.06-0.37; P = .00006) and better overall survival (OR, 0.60; 95% CI, 0.44-0.81; P = .0009), which was accounted for by the achievement of complete remission (CR) (duration of CR: 80 weeks vs 10 weeks for patients with no CR). Patients who had adverse cytogenetics did not benefit. ATRA had no effect. Toxicity scores or supportive care requirements did not differ between the treatment arms.
CONCLUSIONS: Older, less fit patients have a poor outcome, and few trials have been conducted in this patient group. Low-dose ara-C treatment was superior to best supportive care and hydroxyurea because it had greater success in achieving CR, and it could represent standard care against which new treatments may be compared in this patient group.
BACKGROUND: The survival of older patients with acute myeloid leukemia has not improved. Few clinical trials have been available for older patients who are not considered fit for an intensive chemotherapy approach.</t>
  </si>
  <si>
    <t>Burnett AK, Hills RK, Hunter AE, Milligan D, Kell WJ, Wheatley K, Yin J, McMullin MF, Dignum H, Bowen D, Russell NH. The addition of gemtuzumab ozogamicin to low-dose Ara-C improves remission rate but does not significantly prolong survival in older patients with acute myeloid leukaemia: Results from the LRF AML14 and NCRI AML16 pick-a-winner comparison. Leukemia. 2013 Jan;27(1):75-81.</t>
  </si>
  <si>
    <t>Burnett A.K.
Hills R.K.
Hunter A.E.
Milligan D.
Kell W.J.
Wheatley K.
Yin J.
McMullin M.F.
Dignum H.
Bowen D.
Russell N.H.</t>
  </si>
  <si>
    <t>Leukemia. 27 (1) (pp 75-81), 2013. Date of Publication: January 2013.</t>
  </si>
  <si>
    <t>The addition of gemtuzumab ozogamicin to low-dose Ara-C improves remission rate but does not significantly prolong survival in older patients with acute myeloid leukaemia: Results from the LRF AML14 and NCRI AML16 pick-a-winner comparison.</t>
  </si>
  <si>
    <t>The treatment of older patients with acute myeloid leukaemia, who are not considered suitable for conventional intensive therapy, is unsatisfactory. Low-dose Ara-C(LDAC) has been established as superior to best supportive care, but only benefits the few patients who enter complete remission. Alternative or additional treatments are required to improve the situation. This randomised trial compared the addition of the immunoconjugate, gemtuzumab ozogamicin (GO), at a dose of 5 mg on day 1 of each course of LDAC, with the intention of improving the remission rate and consequently survival. Between June 2004 and June 2010, 495 patients entered the randomisation. The addition of GO significantly improved the remission rate (30% vs 17%; odds ratio(OR) 0.48 (0.32-0.73); P=0.006), but not the 12 month overall survival (25% vs 27%). The reason for the induction benefit failing to improve OS was two-fold: survival of patients in the LDAC arm who did not enter remission and survival after relapse were both superior in the LDAC arm. Although the addition of GO to LDAC doubled the remission rate it did not improve overall survival. Maintaining remission in older patients remains elusive. © 2013 Macmillan Publishers Limited All rights reserved.</t>
  </si>
  <si>
    <t>Caloto T, Dias Ferreira C, Rafel M, Rovira G. Azacitidine for the treatment of adult patients (age 65 or older) with acute myeloid leukemia and &gt; 30% bone marrow blasts in Spain: Budget impact analysis. Value in Health. 2016 Nov; 19(7):A581.</t>
  </si>
  <si>
    <t>Caloto T.
Dias Ferreira C.
Rafel M.
Rovira G.</t>
  </si>
  <si>
    <t>Value in Health. Conference: ISPOR 19th Annual European Congress. Austria. 19 (7) (pp A581), 2016. Date of Publication: November 2016.</t>
  </si>
  <si>
    <t>Objectives: The use of azacitidine has been recently approved in Spain for the treatment of adult patients (pts) &gt;= 65 years diagnosed with Acute Myeloid Leukemia (AML) with &gt; 30% marrow blasts who are ineligible forhematopoietic stem cell transplantation (HSCT). The objective was to assess the economic impact of treating these pts with azacitidine in Spain. Methods: From the National Health System (NHS) perspective, we developed a budget impact analysis to assess azacitidine eligibility and costs over a 3-year period. The number of pts aged &gt;= 65 years with AML and &gt; 30% marrow blasts was estimated using published epidemiologic estimates. The proportion of those pts ineligible for HSCT was obtained through local expert consultation. AML market distribution was obtained from market research studies. For all therapeutic options, healthcare costs ( 2016) included drug (ex-factory considering compulsory RDL 8/2010 discount), administration and adverse events. Unit costs were obtained from the NHS and eSalud databases. The base-case analysis considered that vial-sharing was performed for all treatment alternatives. Results: 418 pts would be eligible for azacitidine treatment in the first year of use (416 and 413 in the next 2 years, respectively). According to expert opinion, azacitidine would gradually replace low-dose chemotherapy, and to a lesser extent decitabine and high-dose chemotherapy, resulting in 216, 233 and 250 pts treated with azacitidine in the new indication in the first 3 years, corresponding with  1.9 M in total savings for the NHS. Conclusions: In Spain, the use of azacitidine to treat older, HSCTineligible pts with AML and &gt; 30% bone marrow blasts is associated with impactful savings for the NHS. These cost savings were especially related to costs of treatment administration and the convenient mode of subcutaneous administration.</t>
  </si>
  <si>
    <t>Candelaria-Hernandez M, Lopez Karpovitch X, Mijangos-Huesca FJ, Montano-Figueroa E., Lemus-Carmona EA, Guzman-Vazquez S, Diaz-Martinez JP, Soto-Molina H. Cost-effectiveness of azacitidine compared with low-doses of chemotherapy (LDC) in myelodysplastic syndrome (MDS). Value in Health. 2017 May;20(5):A212.</t>
  </si>
  <si>
    <t>Candelaria-Hernandez M.
Lopez Karpovitch X.
Mijangos-Huesca F.J.
Montano-Figueroa E.
Lemus-Carmona E.A.
Guzman-Vazquez S.
Diaz-Martinez J.P.
Soto-Molina H.</t>
  </si>
  <si>
    <t>Value in Health. Conference: ISPOR 22nd Annual International Meeting. United States. 20 (5) (pp A212), 2017. Date of Publication: May 2017.</t>
  </si>
  <si>
    <t xml:space="preserve">Cost-effectiveness of azacitidine compared with low-doses of chemotherapy (LDC) in myelodysplastic syndrome (MDS) </t>
  </si>
  <si>
    <t>OBJECTIVES: Assess, from a Mexican health care perspective, the cost-effectiveness of azacitidine compared with Low-Doses of Chemotherapy (LDC) plus best supportive care (BSC) for the treatment of adult patients with intermediate-2 and high-risk MDS, who are not eligible for haematopoietic stem cell transplantation. METHODS: We developed a cost-effectiveness survival analysis model of 3 stages: MDS, AML, and death. OS and costs are extrapolated beyond three-year time horizon. Discount rate of 5% was applied. To estimate the model cycle probability transition to mortality state, survival curves were constructed for each treatment arm using individual patient-level data from Study AZA-001. Unitary cost are from public price list, and profiles for the management of MDS and AML were collected separately using a structured questionnaire. Probabilistic sensitivity analyses (PSA) were conducted by simultaneously sampling from estimated probability distributions of model parameters. RESULTS: Overall survival was projected to increase by 72.26 weeks with azacitidine. Incremental expected total costs for azacitidine compared to LDC was MXN $68,045. However, the cost of the drug therapy was lower with azacitidine. The ICER for azacitidine compared to LDC was MXN$48,932 per LYG. PSA showed that azacitidine was a highly cost-effective option in 96.49% of the simulated cases in MXN$180,000/LYG willingness-to-pay. CONCLUSIONS: Compared with LDC, azacitidine represents a cost-effective treatment alternative in patients with MDS from a Mexican perspective.</t>
  </si>
  <si>
    <t>Cannas G, Fattoum J, Boukhit M, Thomas X. Economic analysis of blood product transfusions according to the treatment of acute myeloid leukemia in the elderly. Transfusion Clinique et Biologique. 2015 Oct-Dec;22(5-6):341-7.</t>
  </si>
  <si>
    <t>Cannas G
Fattoum J
Boukhit M
Thomas X</t>
  </si>
  <si>
    <t>Transfusion Clinique et Biologique. 22(5-6):341-7, 2015 Oct-Dec</t>
  </si>
  <si>
    <t>BACKGROUND: Blood transfusion requirement represents one of the most significant cost driver associated with acute myeloid leukemia (AML). Low-intensity treatments (low-dose cytarabine, hypomethylating agents) have the potential to reduce transfusion dependence, and improve health-related quality of life.
PATIENTS AND METHODS: We assessed the cost-effectiveness of treatment types regarding blood product transfusions in a cohort of 214 AML patients aged &gt;= 70 years.
RESULTS: Analyzes did not indicate any significant overall survival (OS) advantage of intensive chemotherapy comparatively to low-intensity treatment. The difference was significant when compared to best supportive care (BSC) (P&lt;0.0001). Blood products transfusion cost per patient was 1.3 times lower with low-intensity therapy and 2.7 times lower with BSC than with intensive chemotherapy. Mean transfusion cost per patient according to OS varied from 2.4 to 1.3 times less with low-intensity treatment comparatively to intensive chemotherapy for patients having OS &lt;= 13.3 months. Costs varied from 3.5 to 2.6 times less with BSC comparatively to intensive chemotherapy. In contrast, mean transfusion costs were comparable among treatments for patients with OS&gt;13.3 months.
CONCLUSION: Low-intensity treatments represent a cost-effective alternative to BSC and require a reduced number of transfused blood products comparatively to intensive chemotherapy, while OS was not significantly different.
Copyright © 2015 Elsevier Masson SAS. All rights reserved.</t>
  </si>
  <si>
    <t>Capelli_Blood_2015 (abstract)</t>
  </si>
  <si>
    <t>Capelli D, Giostra L, Maravalle D, Leoni P, Olivieri A. Dinamic evaluation of quality of life and late effects in a cohort of acute myeloid leukemia long term survivors. Blood. 2015 Dec 03;126(23):5584.</t>
  </si>
  <si>
    <t>Capelli D.
Giostra L.
Maravalle D.
Leoni P.
Olivieri A.</t>
  </si>
  <si>
    <t>Blood. Conference: 57th Annual Meeting of the American Society of Hematology, ASH 2015. San Diego, CA United States. Conference Start: 20161203. Conference End: 20161206. Conference Publication: (var.pagings). 126 (23) (pp 5584), 2015. Date of Publication: 03 Dec 2015.</t>
  </si>
  <si>
    <t>Late effects and quality of life (QoL) in Acute Myeloid Leukemia (AML) long term adult survivors represent an unexplored field of interest. We prospectively evaluated late effects and dynamic QoL in 44 and 29 cured AML patients (17 &lt;60 years, and 12 &gt;60 years), treated at our department between 1997 and 2010 (7 Allogeneic, 16 Autologous Transplant, 21 chemotherapy alone). We administered EORTC QLQ-C30 and FACT-AN questionnaires at two different time points with a median interval of 29 months (range: 12-34 months). We stratifyed QoL scores by age at diagnosis, performance status (PS), Sorror Index, kind of leukemia treatment, comorbidity at diagnosis. We observed a worsening of emotional (-9.03; p= 0.04) and cognitive (-6.94; p= 0.05) EORTC scale scores, while FACTG (+2.9; p=0.03), emotional (+1.1; p= 0.04) and Functional (+2.25; p=0.001) well being FACT scores increased. Multivariate analysis showed that older patients had worse EORTC QLQ-C30 physical and emotional scale scores and higher values of pain symptoms in comparison to younger counterpart, with RR of 20.1 (p = 0.001), 22.7 ( p &lt;0.04) and 18.4 (p=0.03) respectively. Elderly patients also had lower Total Outcome Index and FACT-An subscale scores (RR: 11.9, p= 0.02; and 8.77, p= 0.04 respectively). Sorror index &gt; 2 was related to lower EORTC QLQ-C30 social scale and dyspnea scores (RR: 32.5; p=0.001 and 21.7; p=0.001 respectively) and FACT-An functional well being values (RR=3.9; p=0.001). We evaluated late effects occurring in 44 patients, since the third month after the end of treatment, with a median follow-up of 70 months (range: 12-166 months). The most frequent grade II-IV late toxicity was cardiac (3 arythmia, 9 cardiomyopathy) with 89% incidence in patients with Sorror HCT-CI score&gt;2 at diagnosis vs 8.8% in the remaining patients and 0%, 20% and 55.5% in patients receiving respectively Daunorubicin, Idarubicin and at least two different anthracyclines. Sorror Index&gt;2 was the only factor significantly predicting cardiotoxicity at the multivariate analysis with a RR of 82.7 (p=0.001). Twelve patients developped a transient hemochromatosis secondary to transfusions, treated with phlebotomy in 3 cases. Three patients (2 males and 1 female) had been fertile; all female patients developped menopause after Transplant. Four patients had secondary neoplasia consisting of Multiple Myeloma, breast cancer, myelodisplasia and axillary sarcoma. Our study underlines the role of Sorror Index at diagnosis in defining patients eligibility to cardio-prophylactic therapy. The analysis of larger series of cured AML patients are strongly needed in order to define guidelines for reducing long term treatment AML toxicity.</t>
  </si>
  <si>
    <t>Capodanno I, Avanzini P, et al. Haematologica. Conference: 16th Congress of the European Hematology Association. London United Kingdom. Conference Publication: (var.pagings). 96 (SUPPL. 2) (pp 519), 2011. Date of Publication: 01 Jun 2011.</t>
  </si>
  <si>
    <t>Haematologica. Conference: 16th Congress of the European Hematology Association. London United Kingdom. Conference Publication: (var.pagings). 96 (SUPPL. 2) (pp 519), 2011. Date of Publication: 01 Jun 2011.</t>
  </si>
  <si>
    <t>Background. Hypometilating agents have recently been shown to prolong overall survival and improve quality of life in patients either with INT-2 and high IPSS risk myelodysplasia (MDS) or with low bone marrow blast count acute myeloid leukemia (AML). Aims. The aim of our retrospective analysis was to evaluate the efficacy and the feasibility of 5-azacitidine therapy in a cohort of patients for whom no alternative therapy is available. Methods. Since September 2008 we have been treating with 5-azacitidine 33 patients affected by acute myeloid leukemia (18 patients), MDS (13 patients) or chronic myelomonocytic leukemia (2 patients). The median age of patients at treatment starting time was 70 years (range: 51-82). Azacitidine was administered subcutaneously (75 mg/m&lt;sup&gt;2&lt;/sup&gt;/d) for 7 days of every 28-day cycle until loss of response or disease progression. Patients received a median number of 6.5 cycles of therapy (range 1-24). According to International Working Group MDS and LMA criteria, in the overall study population we evaluated overall improvement (CR + PR + HI), the best response obtained and adverse events. In the subgroup of patients who received at least 6 cycles of therapy (13 patients) we also evaluated overall survival (OS) and progression free survival (PFS). Results. In the AML cohort, after a median number of 4.6 cycles (range 1-17), we observed a complete response in 5% of patients, a hematological improvement (HI) in 22% of patients, a stable disease (SD) in 39% of patients and a lack of response in 33% of patients. In the MDS cohort, after a median number of 8.5 cycles (range 2-24), we observed a complete response (CR) (including a complete cytogenetic response) in 31% of patients, a partial response (PR) in 7,5% of patients, a hematological improvement in 46.5% of patients and a stable disease in 15% of patients. The overall improvement (CR + PR + HI) was 28% in AML cohort and 84.5% in MDS cohort. In the CMML cohort, after a median number of 10.5 cycles (range 9-12), we observed a partial response in 50% of patients and a hematological improvement in 50% of patients. In the subgroup of patients who received at least six cycles of therapy, the overall survival was 14 months and the progression free survival was 11.5 months. In the overall study population, only two patients (6%) discontinued treatment as a result of adverse events. Conclusions. The limited number of cases and the short period of follow-up don't allow us to evaluate overall survival and progression free survival in the whole study population. In the subgroup of patients who received at least six cycles of therapy, we observed that 5-azacitidine plays an important role in treatment of MDS and low bone marrow blast counts AML, particularly with prolonged OS and good safety profile. Further trials should assess the number of cycles required for treatment, the role of hypometilating agents in low-risk MDS and in patients with AML and a bone marrow blasts counts &gt; 30%.</t>
  </si>
  <si>
    <t>Carp J, Waldman L, Nicholson S, et al. Quality of life and psychological distress in patients with acute myeloid leukemia (AML). JCO. 2018;36(15_suppl):7035-7035. doi:10.1200/JCO.2018.36.15_suppl.7035</t>
  </si>
  <si>
    <t>Carp J, Waldman L, Nicholson S, et al</t>
  </si>
  <si>
    <t>DOI: 10.1200/JCO.2018.36.15_suppl.7035 Journal of Clinical Oncology 36, no. 15_suppl (May 20 2018) 7035-7035.</t>
  </si>
  <si>
    <t>Background: Older patients with AML face difficult treatment decisions as they can be treated either with multi-drug ‘intensive’ chemotherapy requiring a prolonged hospitalization, or ‘non-intensive’ chemotherapy. Although clinicians often perceive intensive chemotherapy as more burdensome, studies comparing older patients’ quality of life (QOL) and psychological distress while receiving these treatments are lacking. Methods: We conducted a longitudinal study of older patients (≥ 60 years) newly diagnosed with AML receiving intensive (i.e. 7+3: cytarabine/anthracycline combination) or non-intensive (i.e. hypomethylating agents) chemotherapy at two tertiary care hospitals. We assessed patient’s QOL [Functional Assessment of Cancer Therapy-Leukemia], and psychological distress [Hospital Anxiety and Depression Scale [HADS]] at baseline and 2, 4, 8, 12, and 24 weeks after diagnosis. We compared the proportion of patients in each group reporting clinically significant depression or anxiety (HADS subscale cut off ≥ 7) and used mixed linear effects models to compare QOL and psychological distress longitudinally between groups. Results: We enrolled 75.2% (100/133) of eligible patients within 72 hours of initiating intensive (n = 50) or non-intensive (n = 50) chemotherapy. Baseline QOL, depression, or anxiety symptoms did not differ between the groups. At baseline, 33.33% (33/100) and 30% (30/100) of the overall cohort reported clinically significant depression and anxiety, respectively, with no differences between groups. At 4 weeks, 41.98% (34/81) of patients in the overall cohort reported clinically significant depression, with no differences between groups. In mixed linear effects models, there were no differences in QOL (β = -0.71, SE = 1.12, P = 0.527), depression (β = 0.24, SE = 0.20, P = 0.226), or anxiety (β = -0.16, SE = 0.19, P = 0.386) symptoms over all time points. Conclusions: Older patients with AML receiving intensive and non-intensive chemotherapy experience similar QOL and high rates of psychological distress. These findings underscore the need to develop supportive care interventions for older patients with AML, regardless of their initial treatment strategy.</t>
  </si>
  <si>
    <t>Castejón N, Cappelleri JC, et al. Health Qual Life Outcomes. 2018 Apr 18;16(1):66. doi: 10.1186/s12955-018-0897-8.</t>
  </si>
  <si>
    <t>Castejón N, Cappelleri JC, Cuervo J, Lang K, Mehta P, Mokgokong R, Mamolo C.</t>
  </si>
  <si>
    <t>Health Qual Life Outcomes. 2018 Apr 18;16(1):66. doi: 10.1186/s12955-018-0897-8.</t>
  </si>
  <si>
    <t>BACKGROUND:
Health state (HS) utility values for patients with acute myeloid leukemia (AML), a hematological malignancy, are not available in the United Kingdom (UK). This study aims to develop clinically sound HSs for previously untreated patients with AML and to assign utility values based on preferences of the general UK population.
METHODS:
This study was conducted in the UK and comprised 2 stages. During the first stage, AML HSs were drafted based on evidence from a literature review of AML clinical and health-related quality-of-life studies (published January 2000-June 2016) and patient-reported outcome measures previously used in this population. A panel of UK hematologists with AML experience validated the clinical relevance and accuracy of the HSs. During the second stage, validated HSs were valued in an elicitation survey with a representative UK population sample using the time trade-off (TTO) method. Descriptive statistics and bivariate tests were obtained and performed.
RESULTS:
A total of eight HSs were developed and clinically validated, including treatment with chemotherapy, consolidation therapy, transplant, graft-vs-host disease (GvHD), remission, relapse, refractory, and functionally cured. In total, 125 adults participated (mean age, 49.6 years [range, 18-87 years], 52.8% female). Mean (95% confidence interval [CI]) TTO preference values (n = 120), ranked from lowest (worst HS) to highest (best HS) were as follows: refractory - 0.11 (- 0.21 to - 0.01), relapse 0.10 (0.00-0.20), transplant 0.28 (0.20-0.37), treatment with chemotherapy 0.36 (0.28-0.43), GvHD 0.43 (0.36-0.50), consolidation 0.46 (0.40-0.53), remission 0.62 (0.57-0.67), and functionally cured 0.76 (0.72-0.79). Mean (95% CI) visual analog scale preference values followed the same rank order, ranging from 0.15 (0.13-0.17) for refractory to 0.71 (0.68-0.73) for functionally cured.
CONCLUSIONS:
To our knowledge, this is the first study to report utility values for AML from the UK societal perspective. Participants were able to distinguish differences in severity among AML HSs, and preference values were consistent with clinical perception of HS severity. HS preference values observed in this study may be useful in future evaluations of treatment benefit, including cost-effectiveness analyses and improved patient well-being.</t>
  </si>
  <si>
    <t>Cheng_JCO_2016 (abstract)</t>
  </si>
  <si>
    <t>Cheng M-CJ, Smith BD, Hourigan CS, Gojo I, Pratz KW, Blackford A, Smith TJ. A single-center survey of health-related quality of life among acute myeloid leukemia survivors in first complete remission. Journal of Clinical Oncology. 2016 Jan 20;34(3 SUPPL. 1).</t>
  </si>
  <si>
    <t>Cheng M.-C.J.
Smith B.D.
Hourigan C.S.
Gojo I.
Pratz K.W.
Blackford A.
Smith T.J.</t>
  </si>
  <si>
    <t>Journal of Clinical Oncology. Conference: 2016 Cancer Survivorship Symposium: Advancing Care and Research. San Francisco, CA United States. Conference Start: 20160115. Conference End: 20160116. Conference Publication: (var.pagings). 34 (3 SUPPL. 1) (no pagination), 2016. Date of Publication: 20 Jan 2016.</t>
  </si>
  <si>
    <t>Background: To better understand adult acute myeloid leukemia (AML) survivorship and health related quality of life, we piloted a survey exploring patient reported outcomes for patients in first complete remission (CR) to determine if patients feel the survey is relevant to their overall well-being. Methods: A cross-sectional survey measuring: quality of life, physical, role, emotional, cognitive, social functioning (EORTC QLQ-C30 v 3.0); physical, psychological, social, and spiritual well-being (Quality of Life-Cancer Survivor (QOL- CS) scale); fatigue (Functional Assessment of Chronic Illness Therapy - Fatigue Scale (FACITFatigue)); anxiety and depression (Hospital Anxiety and Depression Scale (HADS)); sociodemographic and 5 open-ended questions. Results: 18 participants completed the survey; mean age was 57.2 years. Nine patients were in CR for &lt;2 years, and 9 were in CR for 2 years. Participants scored well on the EORTC QLQ-C30 and reported symptoms ranging from 11% (constipation) to 83% (fatigue). The FACIT-Fatigue (worst 0-best 52) mean score was 28.7 and median score was 33.5 (normal 30). On the HADS anxiety scale, 2 participants scored in the abnormal range. One scored in the abnormal range on the depression scale. On the QOL-CS, participants scored above 6 out of 10 in all domains, with exceptions of the psychological subscales of distress and fear (Table 1). Most participants felt the survey was completely or mostly relevant (88.8%) in understanding their quality of life. Most felt the length was optimal (77.8%). Conclusions: Most survivors scored well on quality of life and well-being, but with ongoing fatigue, distress, and fear of future tests and recurrence. Few consistently scored worse on the scales. There may be a population coping less well and it would be informative for survivorship programs to prospectively characterize their medical and psychosocial-spiritual needs. (Table Presented).</t>
  </si>
  <si>
    <t>Choi_JMCSP_2019 (abstract)</t>
  </si>
  <si>
    <t>Choi M, Ravelo A, Keim H, Song J, Chai X, Betts K, Bui C. Journal of Managed Care and Specialty Pharmacy. Conference: Annual Meeting of the Academy of Managed Care and Specialty Pharmacy, AMCP 2019. United States. 25 (3-A SUPPL.) (pp S34), 2019. Date of Publication: March 2019.</t>
  </si>
  <si>
    <t>Choi M, Ravelo A, Keim H, Song J, Chai X, Betts K, Bui C</t>
  </si>
  <si>
    <t>Journal of Managed Care and Specialty Pharmacy. Conference: Annual Meeting of the Academy of Managed Care and Specialty Pharmacy, AMCP 2019. United States. 25 (3-A SUPPL.) (pp S34), 2019. Date of Publication: March 2019.</t>
  </si>
  <si>
    <t>BACKGROUND: Treatment and management of newly diagnosed acute myeloid leukemia (ND AML) patients ineligible for intensive induction chemotherapy (IIC) is associated with poor outcomes. Venetoclax (VEN), in combination with azacitidine (AZA), decitabine (DEC), or low dose cytarabine (LDAC), was recently FDA approved for the treatment of ND AML in adults who are age 75 years or older, or who have comorbidities that preclude use of IIC. OBJECTIVE(S): To assess the budget impact of the adoption of VEN combinations for the FDA-approved AML indication from a U.S. payer perspective. METHOD(S): A model was developed to estimate the three-year budget impact in a hypothetical U.S. plan with 1 million members (60% commercial and 40% Medicare). The number of eligible patients was estimated based on epidemiologic data of age distribution and AML incidence. Upon market entry, VEN combination therapies were assumed to draw market share from existing comparators: AZA, DEC, LDAC, gemtuzumab ozogamicin, and best supportive care. The model considered the costs of treatment and its administration, adverse events, hospitalization, disease monitoring, and blood transfusions. Clinical inputs included observed rates of complete remission (CR) and CR with incomplete hematologic recovery, duration of treatment, and &gt;= 56 days of transfusion independence. The incremental total budget and per-member-per-month (PMPM) costs (2018 USD) were calculated, comparing the scenarios with vs. without VEN combination therapies for the treatment of ND AML. One-way sensitivity analyses were performed. RESULT(S): The model estimated 49 patients with ND AML who are ineligible for IIC in a health plan with 1 million members per year. The adoption of VEN was calculated to have an initial annual impact on the incremental total budget of $1,395,553. The annual incremental PMPM was $0.12, $0.17, and $0.17 for Year 1, 2, and 3, respectively. Overall, with the introduction of VEN for ND AML into a formulary, there were cost offsets from hospitalization and monitoring costs. The increase was primarily attributed to factors affecting drug cost of VEN combination therapies which included longer duration of treatment. The model results remained robust in sensitivity analyses. CONCLUSION(S): The adoption of VEN combinations for the treatment of the FDA-approved indication of ND AML had a small incremental budget impact from a U.S. payer perspective. The use of VEN combinations provides the potential to avoid costly hospitalizations, partially offsetting the drug cost, while offering longer duration of treatment.</t>
  </si>
  <si>
    <t>Chung K, et al. Healthcare resource utilization in a phase 3 study of CPX-351 in patients with newly diagnosed therapy-related acute myeloid leukemia or acute myeloid leukemia with myelodysplasia- related changes. JMCP.2018.24.4-a.s1</t>
  </si>
  <si>
    <t>Chung K, et al.</t>
  </si>
  <si>
    <t>JMCP.2018.24.4-a.s1</t>
  </si>
  <si>
    <t>Healthcare resource utilization in a phase 3 study of CPX-351 in patients with newly diagnosed therapy-related acute myeloid leukemia or acute myeloid leukemia with myelodysplasia- related changes</t>
  </si>
  <si>
    <t>BACKGROUND: Treatment of acute myeloid leukemia requires significant healthcare resource utilization (HRU), including lengthy hospitalizations. CPX-351 is approved in the U.S. for adults with newly diagnosed therapy-related acute myeloid leukemia (tAML)/AML with myelodysplasia-related changes (AML-MRC). In a phase 3 study, CPX-351 showed significant benefits in overall survival and complete remission compared with 7+3 cytarabine (C)/daunorubicin (D). 
OBJECTIVE: Evaluate the impact of CPX-351 vs 7+3 on HRU in pts with newly diagnosed tAML/AML-MRC using phase 3 data. 
METHODS: Pts received 1-2 cycles of induction with CPX-351 (100 units/m2 [C 100 mg/m2 and D 44 mg/m2] on Days 1, 3, and 5 [2nd induction: Days 1, 3]) or 7+3 (C 100 mg/m2/day continuous infusion for 7 days [2nd induction: 5 days continuous infusion] + D 60 mg/m2 on Days 1-3 [2nd induction: Days 1-2]). Responders could receive up to 2 cycles of consolidation. Pts were assessed on a per pt year (PPY) basis to normalize HRU for longer exposure due to increased efficacy. HRU data, including hospitalizations, intensive care unit (ICU) use, transfusions, anti-infective use, and white blood cell colony stimulating factor (CSF) use were analyzed by treatment arm. 
RESULTS: The mean (SD)/median (range) total duration of hospitalization was 39.10 (18.61)/38.0 (3.0-145.0) days in the CPX-351 arm (n = 153) and 36.17 (16.46)/33.0 (1.0-90.0) days in the 7+3 arm (n = 151). The mean (SD)/median (range) duration of hospitalization PPY was 93.38 (104.25)/52.71 (3.2-360.2) days in the CPX-351 arm and 118.97 (109.54)/71.57 (1.2-356.9) days in the 7+3 arm. The mean (SD)/median (range) total duration of ICU stays was 1.27 (4.86)/0 (0-44.0) days and 1.45 (3.46)/0 (0-17.0) days in the CPX-351 and 7+3 arms, respectively. The mean (SD)/median (range) duration of ICU stays PPY was 4.56 (18.31)/0 (0-185.9) days in the CPX-351 arm and 10.69 (40.43)/0 (0-322.3) days in the 7+3 arm. In the CPX-351 vs 7+3 arms, both the mean/median numbers of administration of platelets (13.46/12.0 vs 9.83/8.0), packed red bloods cells (9.82/8.0 vs 8.00/6.0), anti-infectives (26.92/23.0 vs 23.72/19.0), and CSF (1.32/1.0 vs 1.05/1.0) were comparable. When comparing CPX-351 and 7+3, the mean/median numbers of PPY administration of platelets (38.67/16.16 vs 40.87/18.65, respectively), packed red blood cells (25.00/11.56 vs 30.83/17.90), anti-infectives (77.60/32.32 vs 97.56/32.50), and CSF (1.25/0 vs 0.89/0) were also not notably different. 
CONCLUSIONS: These PPY data, showing shorter durations of hospitalization with CPX-351, suggest CPX-351 is not associated with increased HRU in pts with tAML/AML-MRC compared with 7+3. 
SPONSORSHIP: Jazz Pharmaceuticals.</t>
  </si>
  <si>
    <t>Chung K, Ryan R, Louie A. CPX-351 for the Treatment of Newly Diagnosed, Therapy-Related Acute Myeloid Leukemia (TAML) or AML with Myelodysplasia-Related Changes (AML-MRC): An Analysis of Clinical Benefit. Value in Health. 2018;21:S15. doi:10.1016/j.jval.2018.04.087</t>
  </si>
  <si>
    <t>Chung K, Ryan R, Louie A.</t>
  </si>
  <si>
    <t>Value in Health. 2018;21:S15. doi:10.1016/j.jval.2018.04.087</t>
  </si>
  <si>
    <t>CPX-351 for the treatment of newly diagnosed, therapy-related acute myeloid leukemia (tAML) or AML with myelodysplasia-related changes (AML-mrc): an analysis of clinical benefit</t>
  </si>
  <si>
    <t>OBJECTIVES: CPX-351, a liposomal co-encapsulation of cytarabine+daunorubicin at a synergistic 5:1 ratio, is approved in the US for the treatment of adults with newly diagnosed, tAML/AML-MRC. A phase 3 study evaluated CPX-351 versus conventional cytarabine/daunorubicin (7+3) in adults aged 60-75 years with newly diagnosed, tAML/AML-MRC; the current analysis demonstrates the number needed to treat (NNT) as a measure of effect of CPX-351 versus 7+3.&lt;p&gt;&lt;/p&gt; METHODS: In the phase 3 study (NCT01696084), patients were randomized 1:1 to receive 1-2 induction cycles with CPX-351 (100 units/m&lt;sup&gt;2&lt;/sup&gt; [100 mg/m&lt;sup&gt;2&lt;/sup&gt; cytarabine and 44 mg/m&lt;sup&gt;2&lt;/sup&gt; daunorubicin] on Days 1, 3, 5 [2nd induction: Days 1, 3]) or 7+3 (cytarabine 100 mg/m&lt;sup&gt;2&lt;/sup&gt;/day continuously for 7 days [2nd induction: 5 days] + daunorubicin 60 mg/m&lt;sup&gt;2&lt;/sup&gt; on Days 1-3 [2nd induction: Days 1-2]). Responders could receive ‚â§2 consolidation cycles. The NNT to prevent 1 death at 2 years with CPX-351 versus 7+3 was calculated as the reciprocal of the absolute risk reduction (1/ARR), where ARR equaled the control death rate minus experimental death rate.&lt;p&gt;&lt;/p&gt; RESULTS: 153 and 156 patients were randomized to receive CPX-351 and 7+3, respectively. Patient characteristics were balanced between cohorts. Median overall survival was 9.56 months in the CPX-351 arm and 5.95 months in the 7+3 arm (hazard ratio, 0.69 [95% CI, 0.52-0.90]; 1-sided &lt;em&gt;P &lt;/em&gt;= 0.003). By 2 years, 84% of patients in the 7+3 arm had died versus 67% in the CPX-351 arm. Thus, on average, for every 6 patients treated with CPX-351, 1 death would be prevented over 2 years compared with 7+3 (1/(0.84 ‚Äì 0.67)). The CPX-351 safety profile was consistent with the known profile of 7+3.&lt;p&gt;&lt;/p&gt; CONCLUSIONS: CPX-351 improved survival versus 7+3, with an associated NNT of 6 to prevent 1 death at 2 years, supporting the treatment benefit of CPX-351 in adults with newly diagnosed, tAML/AML-MRC.</t>
  </si>
  <si>
    <t>Cortes_Blood_2016 (Abstract)</t>
  </si>
  <si>
    <t>Cortes JE, Heidel FH, Heuser M, Fiedler W, Smith BD, Robak T, Fernandez PM, Ma WW, Shaik MN, Zeremski M, O'Connell A, Chan G. A phase 2 randomized study of low dose ara-C with or without glasdegib (PF-04449913) in untreated patients with acute myeloid leukemia or high-risk myelodysplastic syndrome. Blood. 2016 Dec 06;128(22).</t>
  </si>
  <si>
    <t>Cortes JE, Heidel FH, Heuser M, Fiedler W, Smith BD, Robak T, Fernandez PM, Ma WW, Shaik MN, Zeremski M, O'Connell A, Chan G</t>
  </si>
  <si>
    <t>Blood. Conference: 58th annual meeting of the american society of hematology, ASH.   2016. United states. Conference start: 20161203. Conference end: 20161206 128(22) (no pagination):2016.</t>
  </si>
  <si>
    <t>A phase 2 randomized study of low dose ara-C with or without glasdegib (PF-04449913) in untreated patients with acute myeloid leukemia or high-risk myelodysplastic syndrome</t>
  </si>
  <si>
    <t>Background: The Hedgehog signaling pathway (HhP) is aberrantly activated in leukemias and myelodysplastic syndrome (MDS), promoting cancer stem cell maintenance. HhP inhibition reduces leukemic stem cells. Glasdegib is a potent, selective, oral HhP inhibitor, with activity in pre-clinical and clinical studies. The addition of glasdegib to standard chemotherapy (CT) has an acceptable safety profile and appears to have clinical activity in MDS and acute myeloid leukemia (AML). Methods: In this study (NCT01546038), previously untreated AML or high-risk MDS patients (pts) ineligible for intensive CT were randomized 2:1 to receive low-dose cytarabine (LDAC) 20 mg subcutaneously twice a day x 10 days q28 days + oral glasdegib 100 mg daily or LDAC alone for as long as pts received clinical benefit. The primary endpoint was overall survival (OS). The final analysis was conducted after completion of recruitment (Oct 2015) and at least 92 OS events. Results: As of Apr 2016, 132 pts (116 AML, 16 MDS) were randomized to LDAC + glasdegib (n = 88) or LDAC alone (n = 44) (stratified as good/intermediate [int.] vs poor risk) (Table). Demographic and baseline characteristics were similar between arms in median age, baseline cytogenetic risk, and diagnosis. Eighty-four pts received LDAC + glasdegib and 41 pts LDAC alone (7 randomized/not treated pts were followed for survival). Median treatment duration was 83 days for LDAC + glasdegib and 47 days for LDAC alone; median follow up was 14.3 months and 12.4 months, respectively. In the glasdegib arm, 12 pts were continuing treatment and 25 were in follow up; in the LDAC arm, 1 pt was on treatment and 5 in follow up. Cytopenias and gastrointestinal toxicities were the adverse events (AEs) occurring more frequently in the LDAC + glasdegib arm. Hh-associated AEs in the glasdegib arm included dysgeusia (23.8%), muscle spasms (20.2%) and alopecia (10.7%). Serious AEs of febrile neutropenia were more frequent in the glasdegib arm, but sepsis rates were lower and pneumonia rates were similar. The most common cause of death was disease progression in both arms. Grade 2-4 QTcF prolongation was more frequent in the LDAC arm. Investigator-reported complete response (CR) rates were numerically higher for LDAC + glasdegib (n = 17, 15%) vs LDAC alone (n = 1, 2.3%), p-value 0.0142. Based on intent to treat analysis of 96 events, median OS (mOS) for LDAC + glasdegib was 8.3 (80% confidence interval [CI] 6.9, 9.9) vs 4.9 months (80% CI 3.5, 6.0) for LDAC alone (HR 0.511, 80% CI 0.386, 0.675; onesided log rank p-value 0.0020 stratified by cytogenetic risk). For good/int. risk, mOS for LDAC + glasdegib was 12.2 vs 6.0 months for LDAC alone (HR 0.464, p-value 0.0035). For poor risk, mOS for LDAC + glasdegib was 4.4 vs 2.3 months (HR 0.575, p-value 0.0422). In AML pts, mOS for LDAC + glasdegib was 8.3 vs 4.3 months for LDAC alone (HR 0.462, p-value 0.0004). Conclusions: The addition of glasdegib to LDAC for AML and high-risk MDS pts improved OS compared with LDAC alone. The improvement was consistent among subgroups, particularly in good/int. risk pts. Treatment was associated with an acceptable safety profile. The addition of glasdegib to LDAC may be a treatment option for pts with AML or high-risk MDS.</t>
  </si>
  <si>
    <t>Cortes_Haema_2018 (Abstract)</t>
  </si>
  <si>
    <t>Cortes J, Heidel F, Fiedler W, Smith D, Robak T, Montesinos P, et al. Glasdegib improved overall srvival in patients with acute myeloid leukemia (AML) or myelodysplastic syndrome (MDS) who achieve complete remission (CR) and those who did not achieve CR. Haematologica.  2018 Jun 14-17</t>
  </si>
  <si>
    <t>Cortes J, Heidel F, Fiedler W, Smith D, Robak T, Montesinos P, et al.</t>
  </si>
  <si>
    <t>Haematologica.  Vol,CONFERENCE START: 2018 Jun 14 CONFERENCE END: 2018 Jun 17, 23rd Congress of the European Hematology Association Stockholm, Sweden</t>
  </si>
  <si>
    <t>Glasdegib improved overall survival in patients with acute myeloid leukemia (AML) or myelodysplastic syndrome (MDS) who achieved complete remission (cr) and those who did not achieve cr</t>
  </si>
  <si>
    <t>Background: Glasdegib is a potent and selective oral inhibitor of the Hedgehog signaling pathway. In a phase 2 randomized trial in patients with AML or high-risk MDS, the addition of glasdegib to low-dose cytarabine (LDAC) improved median overall survival (OS) versus LDAC alone (8.8 vs 4.9 months; hazard ratio [HR] 0.51; 80% confidence interval [CI], 0.39–0.67; P=0.0004), with benefit consistent across subgroups by risk and disease.Aims: We evaluated the efficacy of glasdegib+LDAC versus LDAC alone by disease response (CR vs no CR) and baseline mutational analyses.  MethodsPatients randomized to receive glasdegib+LDAC (n=88) or LDAC alone (n=44) were classified into 2 subgroups: those who achieved CR (defined as neutrophils ≥1000 µL, platelets ≥100000 µL, hemoglobin ≥11 g/dL [MDS only], with Results: 15 out of 88 patients treated with glasdegib+LDAC and 1 out of 44 patients treated with LDAC alone achieved CR at any point during the study. Demographics of the two CR-defined subgroups were balanced with respect to age, comorbidities, and European LeukemiaNet cytogenetic risk group. Median duration of treatment was 16.5 months (range, 0.9–31.9) in patients who achieved CR with glasdegib+LDAC, and 7.3 months in the one patient who achieved CR with LDAC alone. In patients without CR, median duration of treatment was 2.0 months (range, 0.1–27.8) with glasdegib+LDAC, and 1.5 months (range, 0.2–7.9) with LDAC alone. In patients who achieved CR with glasdegib+LDAC, median duration of response was 9.9 months (range, 0.03–28.8). In patients who achieved CR, median OS was 26.8 months (95% CI, 12.3–not reached) with glasdegib+LDAC versus 12.9 months for the one patient who achieved CR with LDAC alone; HR and P value were not estimated due to small sample size. In patients without CR, median OS was 6.5 months (95% CI, 3.7–9.1) with glasdegib+LDAC versus 4.8 months (95% CI, 2.3–6.4) with LDAC alone (HR 0.65; 95%CI 0.43–0.98; P=0.018). Responses were observed across all mutations assessed, and of the 4 genes with a mutation frequency of ≥5 mutations in each arm (DNMT3A, IDH2, RUNX1, and TET2), the HR of median OS for glasdegib+LDAC versus LDAC alone was similar in mutated and non-mutated subgroups. Conclusion: The addition of glasdegib to LDAC versus LDAC alone improved OS in the entire population, and even in those patients not achieving CR. Baseline mutations did not affect response or survival benefit, although data for each mutation are limited by the small sample size. Together these data suggests that glasdegib improves OS by preventing or delaying disease relapse or progression regardless of baseline mutation status. Randomized studies with glasdegib in combination with standard therapies are underway.</t>
  </si>
  <si>
    <t>Cortes_Leuke_2019</t>
  </si>
  <si>
    <t>Cortes JE, Heidel FH, Hellmann A et al. Randomized comparison of low dose cytarabine with or without glasdegib in patients with newly diagnosed acute myeloid leukemia or high-risk myelodysplastic syndrome. Leukemia. 33(2):379-389, 2019 02.</t>
  </si>
  <si>
    <t xml:space="preserve">Cortes JE
Heidel FH
Hellmann A
Fiedler W
Smith BD
Robak T
Montesinos P
Pollyea DA
DesJardins P
Ottmann O
Ma WW
Shaik MN
Laird AD
Zeremski M
O'Connell A
Chan G
Heuser M
</t>
  </si>
  <si>
    <t>Leukemia. 33(2):379-389, 2019 02.</t>
  </si>
  <si>
    <t>Randomized comparison of low dose cytarabine with or without glasdegib in patients with newly diagnosed acute myeloid leukemia or high-risk myelodysplastic syndrome.</t>
  </si>
  <si>
    <t>Glasdegib is a Hedgehog pathway inhibitor. This phase II, randomized, open-label, multicenter study (ClinicalTrials.gov, NCT01546038) evaluated the efficacy of glasdegib plus low-dose cytarabine (LDAC) in patients with acute myeloid leukemia (AML) or high-risk myelodysplastic syndrome unsuitable for intensive chemotherapy. Glasdegib 100 mg (oral, QD) was administered continuously in 28-day cycles; LDAC 20 mg (subcutaneous, BID) was administered for 10 per 28 days. Patients (stratified by cytogenetic risk) were randomized (2:1) to receive glasdegib/LDAC or LDAC. The primary endpoint was overall survival. Eighty-eight and 44 patients were randomized to glasdegib/LDAC and LDAC, respectively. Median (80% confidence interval [CI]) overall survival was 8.8 (6.9-9.9) months with glasdegib/LDAC and 4.9 (3.5-6.0) months with LDAC (hazard ratio, 0.51; 80% CI, 0.39-0.67, P = 0.0004). Fifteen (17.0%) and 1 (2.3%) patients in the glasdegib/LDAC and LDAC arms, respectively, achieved complete remission (P &lt; 0.05). Nonhematologic grade 3/4 all-causality adverse events included pneumonia (16.7%) and fatigue (14.3%) with glasdegib/LDAC and pneumonia (14.6%) with LDAC. Clinical efficacy was evident across patients with diverse mutational profiles. Glasdegib plus LDAC has a favorable benefit-risk profile and may be a promising option for AML patients unsuitable for intensive chemotherapy.</t>
  </si>
  <si>
    <t>Delia M, Carluccio P, et al. Leukemia Research. 39 (11) (pp 1166-1171), 2015. Date of Publication: April 22, 2015.</t>
  </si>
  <si>
    <t>Delia M._x000D_
_x000D_
Carluccio P._x000D_
_x000D_
Buquicchio C._x000D_
_x000D_
Vergine C._x000D_
_x000D_
Greco G._x000D_
_x000D_
Amurri B._x000D_
_x000D_
Melpignano A._x000D_
_x000D_
Melillo L._x000D_
_x000D_
Cascavilla N._x000D_
_x000D_
Guarini A._x000D_
_x000D_
Capalbo S._x000D_
_x000D_
Tarantini G._x000D_
_x000D_
Mazza P._x000D_
_x000D_
Pavone V._x000D_
_x000D_
Di Renzo N._x000D_
_x000D_
Specchia G.</t>
  </si>
  <si>
    <t>Leukemia Research. 39 (11) (pp 1166-1171), 2015. Date of Publication: April 22, 2015.</t>
  </si>
  <si>
    <t>The optimal treatment of older patients (&gt;65 years) with acute myeloid leukemia (AML) remains challenging in daily clinical practice; a choice has to be made between intensive chemotherapy and best supportive care. To guide physicians, several prognostic factors have been identified and risk scores developed. Recently, the DNA methyltransferase inhibitor azacitidine has become available for use in MDS and AML patients with up to 30% bone marrow blasts. However, limited data are available on the outcome of older unfit AML patients, regardless of their bone marrow blast count. We retrospectively analyzed the outcome of 90 newly diagnosed older unfit AML patients in 9 Institutions from the Apulia Region (REP). Responder patients (evaluation performed after 4 cycles of treatment even in cases of primary failure) showed a better overall survival than non responders (23 vs 6 months, p&lt; .001). ECOG PS &gt;= 2 seems to be correlated with OS in multivariate analysis, while neither primary treatment failure (documented after 2 cycles) nor bone marrow blast count were correlated with a worse overall survival either at univariate (22 vs 29 months, p= .ns; 16 vs 19 months, p= .ns) or multivariate analysis. Overall, the results of our retrospective analysis seem to confirm the efficacy of AZA treatment for this unfit AML patients setting, in terms of both CR and OS, regardless of the bone marrow blasts count, while primary treatment failure should not lead to a discontinuation of treatment._x000D_
Copyright © 2015 Elsevier Ltd.</t>
  </si>
  <si>
    <t>Dennis M, Hills R, Thomas I  et al. A randomised evaluation of low-dose ARA-C plus tosedostat versus low dose ARA-C in older patients with acute myeloid leukaemia: Results of the li-1 trial. HemaSphere. Conference: 23rd Congress of the European Hematology Association, EHA 2018. Sweden. 2 (Supplement 2) (pp 11), 2018. Date of Publication: June 2018.</t>
  </si>
  <si>
    <t xml:space="preserve">Dennis M.
Hills R.
Thomas I.
Kallenbach M.
Hemmaway C.
Greaves P.
Copland M.
Burnett A.
Russell N.
</t>
  </si>
  <si>
    <t>HemaSphere. Conference: 23rd Congress of the European Hematology Association, EHA 2018. Sweden. 2 (Supplement 2) (pp 11), 2018. Date of Publication: June 2018.</t>
  </si>
  <si>
    <t>A randomised evaluation of low-dose ARA-C plus tosedostat versus low dose ARA-C in older patients with acute myeloid leukaemia: Results of the li-1 trial.</t>
  </si>
  <si>
    <t>Background: Among patients over the age of 60, a considerable number of patients with Acute Myeloid Leukaemia (AML) are not considered for conventional induction chemotherapy, so survival is poor, with only approximately 10% of patients surviving beyond 2 years when treated with standard of care (demethylation agents or low dose ara-C (LDAC)). In the pivotal trials demethylation agents improve median survival, but not overall survival. Therefore there remains a significant unmet need in this patient group. Tosedostat is a selective, oral aminopeptidase inhibitor. Since Phase I/II trials of tosedostat as monotherapy showed acceptable toxicity and potential activity in relapsed AML it was included, combined with LDAC, as an option in the LI-1 "pick-a-winner" trial._x000D_
Aim(s): To assess the efficacy of LDAC+tosedostat versus LDAC alone in patients aged 60+ unsuitable for intensive therapy in a "pick-a-winner" design. This design allows several treatments to be assessed simultaneously compared with LDAC in a randomised fashion, with the aim of doubling 2-year survival from 11% to 22% (HR 0.70). There are two interim assessments: after 50 patients per arm are recruited, remission rates must improve by &gt;=2.5%; the second interim analysis occurs after 170 deaths are seen, when the hazard ratio must be &lt;0.85._x000D_
Method(s): Tosedostat was given orally at 120mg once a day for up to 6 months. LDAC was given at 20mg bd subcutaneously on days 1-10 of each course, with courses of LDAC occurring at 4-6 wk intervals. To enter the randomisation patients needed to fulfil specific cardiac entry criteria. Toxicities were recorded using NCI-CTC version 3. At the second interim analysis after 183 events tosedostat failed to pass the second assessment, and the arm was therefore closed. Results here are based upon a median follow-up of 18.9 months._x000D_
Result(s): Between 6/2014 and 2/2017, 245 patients, median age 76 years (range 60-88) entered the randomisation. Overall 60% were male; 66% had De Novo AML, 28% secondary AML, and 6% high risk MDS; 1% had favourable, 73% intermediate and 26% adverse cytogenetics. By validated Wheatley index, 2% were good risk, 36% standard risk and 63% poor risk. A median of 2 courses was delivered in either arm (mean 2.9 LDAC+tosedostat vs 2.3 LDAC). Overall, complete remission was achieved in 18% of patients (LDAC+tosedostat 22%, LDAC 14%, OR 0.59 (0.31-1.13) p=0.11). Thirty-day mortality was not significantly increased (17% vs 13%, HR 1.44 (0.75-2.78) p=0.3); but overall survival showed no difference (2-year OS 16% vs 12%, HR 0.99 (0.74-1.32) p=0.9) (Figure 1). Causes of death were: resistant/recurrent disease 39 vs 61; infection 20 vs 10; haemorrhage 8 vs 0; cardiac 5 vs 3; multiple 13 vs 8; other/unknown 5 vs 11. Relapse-free survival did not significantly differ (HR 0.93 (0.41-2.16) p=0.9) with median OS 28.4m vs 24.0m in responders (p=0.6); non-remitters had median OS 2.8m vs 3.3m (HR 1.20 (0.88-1.63) p=0.2). Stratified analyses failed to identify any subgroup of patients benefitting from tosedostat. Although rates of grade 3+ toxicity were low, tosedostat was associated with diarrhoea, increased cardiac toxicity, and increade use of platelets (mean 5.0 vs 3.5 p=0.006). Summary and_x000D_
Conclusion(s): Despite promising early data and acceptable tolerability, we did not find evidence that the addition of tosedostat to LDAC produced a survival benefit in this group of patients, with the anticipated hazard ratio of 0.70 being outside the 95% confidence intervals at second interim analysis. (Figure Presented).</t>
  </si>
  <si>
    <t>Deschler B, Ihorst G, Platzbecker U, Germing U, Marz E, De Figuerido M, Fritzsche K, Haas P, Salih HR, Giagounidis A, Selleslag D, Labar B, de Witte T, Wijermans P, Lubbert M. Parameters detected by geriatric and quality of life assessment in 195 older patients with myelodysplastic syndromes and acute myeloid leukemia are highly predictive for outcome. Haematologica. 2013 Feb 1;98(2):208-216.</t>
  </si>
  <si>
    <t>Deschler B, Ihorst G, Platzbecker U, Germing U, Marz E, De Figuerido M, Fritzsche K, Haas P, Salih HR, Giagounidis A, Selleslag D, Labar B, de Witte T, Wijermans P, Lubbert M</t>
  </si>
  <si>
    <t>Haematologica. 98 (2) (pp 208-216), 2013. Date of Publication: 01 Feb 2013.</t>
  </si>
  <si>
    <t>Myelodysplastic syndromes and acute myeloid leukemia exemplify the complexity of treatment allocation in older patients as options range from best supportive care, non-intensive treatment (e.g. hypomethylating agents) to intensive chemotherapy/hematopoietic cell transplantation. Novel metrics for non-disease variables are urgently needed to help define the best treatment for each older patient. We investigated the feasibility and prognostic value of geriatric/quality of life assessments aside from established disease-specific variables in 195 patients aged 60 years or over with myelodysplastic syndromes/acute myeloid leukemia. These patients were grouped according to treatment intensity and assessed. Assessment consisted of eight instruments evaluating activities of daily living, depression, mental functioning, mobility, comorbidities, Karnofsky Index and quality of life. Patients with a median age of 71 years (range 60-87 years) with myelodysplastic syndromes (n=63) or acute myeloid leukemia (n=132) were treated either with best supportive care (n=47), hypomethylating agents (n=73) or intensive chemotherapy/hematopoietic cell transplantation (n=75). After selection of variables, pathological activities of daily living and quality of life/fatigue remained highly predictive for overall survival in the entire patient group beyond disease-related risk factors adverse cytogenetics and blast count of 20% or over. In 107 patients treated non-intensively activities of daily living of less than 100 (hazard ratio, HR 2.94), Karnofsky Index below 80 (HR 2.34) and quality of life/'fatigue' of 50 or over (HR 1.77) were significant prognosticators. Summation of adverse features revealed a high risk of death (HR 9.36). In-depth evaluation of older patients prior to individual treatment allocation is feasible and provides additional information to standard assessment. Patients aged 60 years or over with newly diagnosed myelodysplastic syndromes/acute myeloid leukemia and impairments in activities of daily living, Karnofsky Index below 80%, quality of life/'fatigue' of 50 or over, are likely to have poor outcomes. © 2013 Ferrata Storti Foundation.</t>
  </si>
  <si>
    <t>DiNardo CD, Pratz KW, Letai A, Jonas BA, Wei AH, Thirman M, Arellano M, Frattini MG, Kantarjian H, Popovic R, Chyla B, Xu T, Dunbar M, Agarwal SK, Humerickhouse R, Mabry M, Potluri J, Konopleva M, Pollyea DA. Lancet Oncology. 19(2):216-228, 2018 02.</t>
  </si>
  <si>
    <t>DiNardo CD; Pratz KW; Letai A; Jonas BA; Wei AH; Thirman M; Arellano M; Frattini MG; Kantarjian H; Popovic R; Chyla B; Xu T; Dunbar M; Agarwal SK; Humerickhouse R; Mabry M; Potluri J; Konopleva M; Pollyea DA</t>
  </si>
  <si>
    <t>Lancet Oncology. 19(2):216-228, 2018 02.</t>
  </si>
  <si>
    <t>BACKGROUND: Elderly patients (aged &gt;=65 years) with acute myeloid leukaemia have poor outcomes and no effective standard-of-care therapy exists. Treatment with hypomethylating agents such as azacitidine and decitabine is common, but responses are modest and typically short-lived. The oral anti-apoptotic B-cell lymphoma 2 protein inhibitor, venetoclax, has shown promising single-agent activity in patients with relapsed or refractory acute myeloid leukaemia and preclinical data suggested synergy between hypomethylating agents and venetoclax, which led to this combination phase 1b study.
METHODS: Previously untreated patients aged 65 years and over with acute myeloid leukaemia who were ineligible for standard induction therapy were enrolled into this non-randomised, open-label, phase 1b study. Patients were required to have an Eastern Cooperative Oncology Group performance status of 0-2 and either intermediate-risk or poor-risk cytogenetics. Patients were enrolled into one of three groups for the dose-escalation phase of this study: group A (venetoclax and intravenous decitabine 20 mg/m2 [days 1-5 of each 28-day cycle]), group B (venetoclax and subcutaneous or intravenous azacitidine 75 mg/m2 [days 1-7 of each 28-day cycle]), and group C (a venetoclax and decitabine substudy with the oral CYP3A inhibitor posaconazole, 300 mg twice on cycle 1, day 21, and 300 mg once daily from cycle 1, days 22-28, to assess its effect on venetoclax pharmacokinetics). Dose escalation followed a standard 3 + 3 design with at least three evaluable patients enrolled per cohort; daily target doses of venetoclax for groups A and B were 400 mg (cohort 1), 800 mg (cohorts 2 and 3), and 1200 mg (cohort 4), and 400 mg for group C. The primary endpoints were the safety and pharmacokinetics of venetoclax plus decitabine or azacitidine, and to determine the maximum tolerated dose and recommended phase 2 dose. Secondary endpoints included the preliminary anti-leukaemic activity of venetoclax with decitabine or azacitidine through the analysis of overall response, duration of response, and overall survival. We analysed safety, pharmacokinetics, and anti-leukaemic activity in all patients who received one or more venetoclax doses. The expansion phase of the study is ongoing but is closed to accrual. This trial is registered with ClinicalTrials.gov, number NCT02203773.
FINDINGS: 57 patients were enrolled in the study. 23 patients in group A and 22 patients in group B were enrolled between Nov 19, 2014, and Dec 15, 2015, and 12 patients in group C were enrolled between June 14, 2015, and Jan 16, 2016. As of data cutoff on June 15, 2016, the most common grade 3-4 treatment-emergent adverse events were thrombocytopenia (27 [47%] of 57 patients; nine in group A, 13 in group B, and five in group C), febrile neutropenia (24 [42%] of 57; 11 in group A, ten in group B, and three in group C), and neutropenia (23 [40%] of 57; 12 in group A, eight in group B, and three in group C). The most common serious treatment-emergent adverse event in groups A and B was febrile neutropenia (seven [30%] of 23 patients vs seven [32%] of 22), whereas in group C it was lung infection (four [33%] of 12 patients). 49 (86%) of 57 patients had treatment-related adverse events; the most common in groups A and B included nausea (12 [52%] patients vs seven [32%] patients), fatigue (six [26%] patients vs seven [32%]), and decreased neutrophil count (six [26%] patients vs six [27%]), whereas in group C the most common were nausea (seven [58%] of 12 patients), leucopenia (six [50%]), vomiting (five [42%]), and decreased platelet count (five [42%]). The maximum tolerated dose was not reached. The recommended phase 2 dose was 400 mg once a day or 800 mg with an interrupted dosing schedule (safety expansion). In total, four (7%) of 57 patients had died within 30 days of the first venetoclax dose caused by sepsis (group B), bacteraemia (group A), lung infection (group C), and respiratory failure (group A). Tumour lysis syndrome was not observed. Decitabine and azacitidine did not substantially affect venetoclax exposures. Overall, 35 (61%; 95% CI 47.6-74.0) of 57 patients achieved complete remission or complete remission with incomplete marrow recovery. In groups A and B, 27 (60%; 95% CI 44.3-74.3) of 45 patients had complete remission or complete remission with incomplete marrow recovery.
INTERPRETATION: Venetoclax plus hypomethylating agent therapy seems to be a novel, well-tolerated regimen with promising activity in this underserved patient population. Evaluation of expansion cohorts is ongoing at 400 mg and 800 mg doses using both hypomethylating agent combinations.
FUNDING: AbbVie and Genentech. Copyright © 2018 Elsevier Ltd. All rights reserved.</t>
  </si>
  <si>
    <t>Dohner H, Lubbert M, Fiedler W, Fouillard L, Haaland A, Brandwein JM, Lepretre S, Reman O, Turlure P, Ottmann OG, Muller-Tidow C, Kramer A, Raffoux E, Dohner K, Schlenk RF, Voss F, Taube T, Fritsch H, Maertens J. Randomized, phase 2 trial of low-dose cytarabine with or without volasertib in AML patients not suitable for induction therapy. Blood. 2014 Aug 28;124(9):1426-33.</t>
  </si>
  <si>
    <t>Dohner H
Lubbert M
Fiedler W
Fouillard L
Haaland A
Brandwein JM
Lepretre S
Reman O
Turlure P
Ottmann OG
Muller-Tidow C
Kramer A
Raffoux E
Dohner K
Schlenk RF
Voss F
Taube T
Fritsch H
Maertens J</t>
  </si>
  <si>
    <t>Blood. 124(9):1426-33, 2014 Aug 28</t>
  </si>
  <si>
    <t>Randomized, phase 2 trial of low-dose cytarabine with or without volasertib in AML patients not suitable for induction therapy.</t>
  </si>
  <si>
    <t>Treatment outcomes for older patients with acute myeloid leukemia (AML) have remained dismal. This randomized, phase 2 trial in AML patients not considered suitable for intensive induction therapy compared low-dose cytarabine (LDAC) with or without volasertib, a highly potent and selective inhibitor of polo-like kinases. Eighty-seven patients (median age 75 years) received LDAC 20 mg twice daily subcutaneously days 1-10 or LDAC + volasertib 350 mg IV days 1 + 15 every 4 weeks. Response rate (complete remission and complete remission with incomplete blood count recovery) was higher for LDAC + volasertib vs LDAC (31.0% vs 13.3%; odds ratio, 2.91; P = .052). Responses in the LDAC + volasertib arm were observed across all genetic groups, including 5 of 14 patients with adverse cytogenetics. Median event-free survival was significantly prolonged by LDAC + volasertib compared with LDAC (5.6 vs 2.3 months; hazard ratio, 0.57; 95% confidence interval, 0.35-0.92; P = .021); median overall survival was 8.0 vs 5.2 months, respectively (hazard ratio, 0.63; 95% confidence interval, 0.40-1.00; P = .047). LDAC + volasertib led to an increased frequency of adverse events that was most pronounced for neutropenic fever/infections and gastrointestinal events; there was no increase in the death rate at days 60 + 90. This study was registered at www.clinicaltrials.gov as #NCT00804856.
Copyright © 2014 by The American Society of Hematology.</t>
  </si>
  <si>
    <t>Estey EH, Thall PF, Giles FJ, Wang XM, Cortes JE, Beran M, Pierce SA, Thomas DA, Kantarjian HM. Blood. 99(12):4343-9, 2002 Jun 15.</t>
  </si>
  <si>
    <t>Estey EH; Thall PF; Giles FJ; Wang XM; Cortes JE; Beran M; Pierce SA; Thomas DA; Kantarjian HM</t>
  </si>
  <si>
    <t>Blood. 99(12):4343-9, 2002 Jun 15.</t>
  </si>
  <si>
    <t>We investigated treatment with gemtuzumab ozogamicin (GO) in 51 patients aged 65 years or older with newly diagnosed acute myeloid leukemia (AML), refectory anemia (RA) with excess of blasts in transformation, or RA with excess blasts. GO was given in doses of 9 mg/m(2) of body-surface area on days 1 and 8 or, therapeutically equivalently, on days 1 and 15, with or without interleukin 11 (IL-11; 15 microg/kg per day on days 3 to 28), with assignment to IL-11 treatment made randomly. Complete remission (CR) rates were 2 of 26 (8%) for GO without IL-11 and 9 of 25 (36%) for GO with IL-11. Regression analyses indicated that IL-11 was independently predictive of CR but not survival. We compared GO with or without IL-11 with idarubicin plus cytosine arabinoside (IA), as previously administered, in similar patients. The CR rate with IA was 15 of 31 (48%), and survival was superior with IA compared with GO with or without IL-11 (P =.03). Besides accounting for possible covariate effects on outcome, we also accounted for possible trial effects (TEs) arising because IA and GO with or without IL-11 were not arms of a randomized trial. Bayesian posterior probabilities that GO with or without IL-11 produced longer survival than IA, after accounting for covariates and TEs, were less than 0.01 in patients with abnormal cytogenetic findings (AC) and less than 0.15 in patients with normal cytogenetic findings (NC). Regarding CR, the analogous probabilities were less than 0.02 for GO without IL-11 (all cytogenetic groups), and for GO with IL-11, less than 0.25 for AC groups and about 0.50 for NC groups. TEs 2 to 5 times the magnitude of those previously observed would be needed to conclude that survival with GO with or without IL-11 is likely longer than with IA. Thus, there is little evidence to suggest that GO with or without IL-11 should be used instead of IA in older patients with newly diagnosed AML or myelodysplastic syndrome.</t>
  </si>
  <si>
    <t>Faderl S, Ravandi F, Huang X, Garcia-Manero G, Ferrajoli A, Estrov Z, Borthakur G, Verstovsek S, Thomas DA, Kwari M, Kantarjian HM. A randomized study of clofarabine versus clofarabine plus low-dose cytarabine as front-line therapy for patients aged 60 years and older with acute myeloid leukemia and high-risk myelodysplastic syndrome. Blood. 2008 Sep 01;112(5):1638-45.</t>
  </si>
  <si>
    <t>Faderl S
Ravandi F
Huang X
Garcia-Manero G
Ferrajoli A
Estrov Z
Borthakur G
Verstovsek S
Thomas DA
Kwari M
Kantarjian HM</t>
  </si>
  <si>
    <t>Blood. 112(5):1638-45, 2008 Sep 01</t>
  </si>
  <si>
    <t>A randomized study of clofarabine versus clofarabine plus low-dose cytarabine as front-line therapy for patients aged 60 years and older with acute myeloid leukemia and high-risk myelodysplastic syndrome.</t>
  </si>
  <si>
    <t>We previously reported the feasibility of clofarabine and cytarabine combinations in AML. Questions remain as to (1) the therapeutic advantage of this combination and (2) the role of lower doses of clofarabine and cytarabine in older patients. We have conducted an adaptively randomized study of lower-dose clofarabine with or without low-dose cytarabine in previously untreated patients with AML aged 60 years and older. Patients received 30 mg/m(2) clofarabine intravenously daily for 5 days with or without 20 mg/m(2) cytarabine subcutaneously daily for 14 days as induction. Consolidation consisted of 3 days of clofarabine with or without 7 days of cytarabine. Seventy patients were enrolled. The median age was 71 years (range, 60-83 years). Sixteen patients received clofarabine and 54 the combination. Overall, 56% achieved complete remission (CR). CR rate was significantly higher with the combination (63% vs 31%; P = .025). Induction mortality was 19% with the combination versus 31% with clofarabine alone (P = .276). The combination showed better event-free survival (7.1 months vs 1.7 months; P = .04), but not overall survival (11.4 months vs 5.8 months; P = .1). Clofarabine plus low-dose cytarabine has a higher response rate than clofarabine alone with comparable toxicity. This trial is registered at www.clinicaltrials.gov as no. NCT00088218.</t>
  </si>
  <si>
    <t>Falantes J, Deben G, et al. Blood. Conference: 56th Annual Meeting of the American Society of Hematology, ASH 2014. San Francisco, CA United States. Conference Publication: (var.pagings). 124 (21) (no pagination), 2014. Date of Publication: 06 Dec 2014.</t>
  </si>
  <si>
    <t>Falantes J._x000D_
_x000D_
Deben G._x000D_
_x000D_
Robles V.M._x000D_
_x000D_
Bargay J._x000D_
_x000D_
Salamero O._x000D_
_x000D_
Pedro C._x000D_
_x000D_
Redondo S._x000D_
_x000D_
Garrido A._x000D_
_x000D_
Bergua J.M._x000D_
_x000D_
Tormo M._x000D_
_x000D_
Xicoy B._x000D_
_x000D_
Font P._x000D_
_x000D_
Gonzalez-Lopez T.J._x000D_
_x000D_
Ramos F.</t>
  </si>
  <si>
    <t>Blood. Conference: 56th Annual Meeting of the American Society of Hematology, ASH 2014. San Francisco, CA United States. Conference Publication: (var.pagings). 124 (21) (no pagination), 2014. Date of Publication: 06 Dec 2014.</t>
  </si>
  <si>
    <t>Background Adverse karyotype and age are associated with poor prognosis in older AML patients (pts). Although complete remission (CR) can be achieved with intensive chemotherapy (IC) in pts with adverse cytogenetics, overall survival (OS) and leukemia free-survival (LFS) are poor (Knipp S, et al. Cancer 2007). In addition, low doses of ARA-C (LDAC) did not offer survival benefit in older pts with poor cytogenetics as compared to hydroxyurea and best supportive care (BSC) (Burnett A, et al. Cancer 2007). Azacitidine has shown a survival advantage in older pts with newly diagnosed AML in a recent phase 3 trial, as compared to conventional care regimens (BSC/LDAC/IC)(Dombret H, et al. EHA 2014). Aim To evaluate the role of azacitidine and factors associated with OS in pts with newly diagnosed AML and adverse karyotype from the ALMA study (Ramos F, et al. Blood 2012;120:abstract 3593). Methods Retrospective, multicenter study, of pts with newly diagnosed AML and adverse karyotype who received front-line azacitidine in Spain. Response to azacitidine was evaluated by ELN-2010 criteria. Overall survival was evaluated by Kaplan-Meier method and log-rank test. Results Thirty-nine pts were identified. Median age: 71y (52-83). Baseline characteristics are shown in table 1. All pts received azacitidine (75 mg/m2 sc x7 days) as first line treatment. Median time from AML diagnosis to therapy was 16 days (1-88). 56% of pts had bone marrow (BM) blasts &gt;30% at diagnosis (median: 32%; range: 20-90). Five out of 39 (13%) pts had leucocyte count (WBC) &gt;15x109/L and 20/39 (51%) had ECOG performance status &gt;1. Complex karyotype (CK) and monosomal karyotype (MK) was present in 18/39 pts each (46%). Within the subset showing CK, 14/18 (78%) had MK. Complete remission (CR) and CRi was 23.1% and 5.1% respectively (ORR=28.2%). Median courses of therapy to best response: 3 (1-11). After 17m median follow-up, median OS (95% CI) was 7m (3.1-8.8). Estimated 1-year survival was 29.8%. There were no differences in median OS in pts with MK vs. rest of pts with CK (median OS 9m [95% CI: 5.3-12.6] vs. 6.5m [3.1-8.8], respectively; P=0.854). Monosomal karyotype, CK with &gt;5 abnormalities, BM blasts &gt;30% and ECOG status &gt;1 did not achieve statistically significance in multivariate analysis. Only WBC at baseline (&gt;10x109/L or &gt;15x109/L; threshold not relevant) had an impact on OS in both univariate (3m [95% CI: 4.9-13] vs. 9m [4.9-13] if WBC &lt;10x10e /L; p=0.014) and multivariate analysis (HR=3.3, [95% CI 1.1-9.5], p=0.025; Table 2). Most frequent causes of death were disease progression and infection (82%). (Table Presented) Multivariate analysis for survival Conclusion Albeit retrospective and non-comparative, azacitidine seems to improve median and 1y survival as compared to historic AML data in pts with adverse cytogenetics. An elevated WBC &gt;10x109/L at diagnosis was the only parameter associated to adverse outcome in this set of pt.</t>
  </si>
  <si>
    <t>Falantes J, Pleyer L, et al. Leukemia &amp; lymphoma.  59(5):1113-1120, 2018.</t>
  </si>
  <si>
    <t>Falantes J, Pleyer L, Thépot S, Almeida AM, Maurillo L, Martínez-Robles V, Stauder R, Itzykson R, Pinto R, Venditti A, Bargay J, Burgstaller S, Martínez MP, Seegers V, Cortesão E, Foncillas MÁ, Gardin C, Montesinos P, Musto P, Fenaux P, Greil R, Sanz MA, Ramos F,; European ALMA + Investigators</t>
  </si>
  <si>
    <t>Leukemia &amp; lymphoma.  59(5):1113-1120, 2018.</t>
  </si>
  <si>
    <t>Real life experience with frontline azacitidine in a large series of older adults with acute myeloid leukemia stratified by MRC/LRF score: results from the expanded international E-ALMA series (E-ALMA+)</t>
  </si>
  <si>
    <t>Azacitidine (AZA) prolonged overall survival (OS) in the AZA-AML-001 trial. However, few subjects were randomized to AZA or intensive chemotherapy (IC). The Medical Research Council (MRC) and the Leukemia Research Foundation (LRF) developed a score for older AML patients receiving IC or non-intensive regimens, whereas the E-ALMA study validated a score for survival and response in elderly patients receiving AZA in daily practice. Both identified three groups with different risk estimates. This analysis evaluates the efficacy of frontline AZA in older AML patients (N = 710) unfit for IC from different national registries (E-ALMA + series) stratified by the MRC/LRF risk score. Median OS of patients categorized as good, standard and poor-risk groups by the MRC/LRF score was 13.4 (95% CI, 10.8-16), 12.4 (95% CI, 9.9-14.8), and 8.1 months (95% CI, 7-9.1), respectively (p =.0001). In conclusion, this is the largest retrospective cohort of older AML patients treated with AZA.</t>
  </si>
  <si>
    <t>Fenaux_BJH_2010</t>
  </si>
  <si>
    <t>Fenaux P, Gattermann N, Seymour JF, Hellstrom-Lindberg E, Mufti GJ, Duehrsen U, Gore SD, Ramos F, Beyne-Rauzy O, List A, McKenzie D, Backstrom J, Beach CL. Prolonged survival with improved tolerability in higher-risk myelodysplastic syndromes: Azacitidine compared with low dose ara-C: Research paper. British Journal of Haematology. 2010 Apr;149(2):244-249.</t>
  </si>
  <si>
    <t>Fenaux P.
Gattermann N.
Seymour J.F.
Hellstrom-Lindberg E.
Mufti G.J.
Duehrsen U.
Gore S.D.
Ramos F.
Beyne-Rauzy O.
List A.
McKenzie D.
Backstrom J.
Beach C.L.</t>
  </si>
  <si>
    <t>British Journal of Haematology. 149 (2) (pp 244-249), 2010. Date of Publication: April 2010.</t>
  </si>
  <si>
    <t>Prolonged survival with improved tolerability in higher-risk myelodysplastic syndromes: Azacitidine compared with low dose ara-C: Research paper.</t>
  </si>
  <si>
    <t>In the phase III AZA-001 trial, low-dose cytarabine (LDara-C), the most widely used low-dose chemotherapy in patients with higher-risk myelodysplastic syndrome (MDS) who are ineligible for intensive treatment, was found to be associated with poorer survival compared with azacitidine. This analysis further compared the efficacy and the toxicity of these two drug regimens. Before randomization, investigators preselected patients to receive a conventional care regimen, one of which was LDara-C. Of 94 patients preselected to LDara-C, 45 were randomized to azacitidine and 49 to LDara-C. Azacitidine patients had significantly more and longer haematologicalal responses and increased red blood cell transfusion independence. Azacitidine prolonged overall survival versus LDara-C in patients with poor cytogenetic risk, presence of -7/del(7q), and French-American-British subtypes refractory anaemia with excess blasts (RAEB) and RAEB in transformation. When analyzed per patient year of drug exposure, azacitidine treatment was associated with fewer grade 3-4 cytopenias and shorter hospitalisation time than LDara-C in these higher-risk MDS patients. © 2010 Blackwell Publishing Ltd.</t>
  </si>
  <si>
    <t>Fenaux P, Mufti GJ, Hellstrom-Lindberg E, Santini V, Gattermann N, Germing U, Sanz G, List AF, Gore S, Seymour JF, Dombret H, Backstrom J, Zimmerman L, McKenzie D, Beach CL, Silverman LR. Azacitidine prolongs overall survival compared with conventional care regimens in elderly patients with low bone marrow blast count acute myeloid leukemia. Journal of Clinical Oncology. 2010 Feb 01;28(4):562-9.</t>
  </si>
  <si>
    <t>Fenaux P
Mufti GJ
Hellstrom-Lindberg E
Santini V
Gattermann N
Germing U
Sanz G
List AF
Gore S
Seymour JF
Dombret H
Backstrom J
Zimmerman L
McKenzie D
Beach CL
Silverman LR</t>
  </si>
  <si>
    <t>Journal of Clinical Oncology. 28(4):562-9, 2010 Feb 01</t>
  </si>
  <si>
    <t>Azacitidine prolongs overall survival compared with conventional care regimens in elderly patients with low bone marrow blast count acute myeloid leukemia.</t>
  </si>
  <si>
    <t>PURPOSE: In a phase III randomized trial, azacitidine significantly prolonged overall survival (OS) compared with conventional care regimens (CCRs) in patients with intermediate-2- and high-risk myelodysplastic syndromes. Approximately one third of these patients were classified as having acute myeloid leukemia (AML) under current WHO criteria. This analysis compared the effects of azacitidine versus CCR on OS in this subgroup.
PATIENTS AND METHODS: Patients were randomly assigned to receive subcutaneous azacitidine 75 mg/m(2)/d or CCR (best supportive care [BSC] only, low-dose cytarabine (LDAC), or intensive chemotherapy [IC]).
RESULTS: Of the 113 elderly patients (median age, 70 years) randomly assigned to receive azacitidine (n = 55) or CCR (n = 58; 47% BSC, 34% LDAC, 19% IC), 86% were considered unfit for IC. At a median follow-up of 20.1 months, median OS for azacitidine-treated patients was 24.5 months compared with 16.0 months for CCR-treated patients (hazard ratio = 0.47; 95% CI, 0.28 to 0.79; P = .005), and 2-year OS rates were 50% and 16%, respectively (P = .001). Two-year OS rates were higher with azacitidine versus CCR in patients considered unfit for IC (P = .0003). Azacitidine was associated with fewer total days in hospital (P &lt; .0001) than CCR.
CONCLUSION: In older adult patients with low marrow blast count (20% to 30%) WHO-defined AML, azacitidine significantly prolongs OS and significantly improves several patient morbidity measures compared with CCR.</t>
  </si>
  <si>
    <t>Fenaux_LO_2009</t>
  </si>
  <si>
    <t>Fenaux P, Mufti GJ, Hellstrom-Lindberg E, Santini V, Finelli C, Giagounidis A, Schoch R, Gattermann N, Sanz G, List A, Gore SD, Seymour JF, Bennett JM, Byrd J, Backstrom J, Zimmerman L, McKenzie D, Beach CL, Silverman LR. Efficacy of azacitidine compared with conventional care regimens in higher-risk myelodysplastic syndromes: results of a randomised, phase III study. The Lancet Oncology. 2009;10:223–232.</t>
  </si>
  <si>
    <t>Fenaux P, Mufti GJ, Hellstrom-Lindberg E, Santini V, Finelli C, Giagounidis A, Schoch R, Gattermann N, Sanz G, List A, Gore SD, Seymour JF, Bennett JM, Byrd J, Backstrom J, Zimmerman L, McKenzie D, Beach CL, Silverman LR International Vidaza High-risk MDS Survival Study Group</t>
  </si>
  <si>
    <t>The Lancet Oncology. 2009;10:223–232</t>
  </si>
  <si>
    <t>BACKGROUND: 
Drug treatments for patients with high-risk myelodysplastic syndromes provide no survival advantage. In this trial, we aimed to assess the effect of azacitidine on overall survival compared with the three commonest conventional care regimens.
METHODS: 
In a phase III, international, multicentre, controlled, parallel-group, open-label trial, patients with higher-risk myelodysplastic syndromes were randomly assigned one-to-one to receive azacitidine (75 mg/m(2) per day for 7 days every 28 days) or conventional care (best supportive care, low-dose cytarabine, or intensive chemotherapy as selected by investigators before randomisation). Patients were stratified by French-American-British and international prognostic scoring system classifications; randomisation was done with a block size of four. The primary endpoint was overall survival. Efficacy analyses were by intention to treat for all patients assigned to receive treatment. This study is registered with ClinicalTrials.gov, number NCT00071799.
FINDINGS: 
Between Feb 13, 2004, and Aug 7, 2006, 358 patients were randomly assigned to receive azacitidine (n=179) or conventional care regimens (n=179). Four patients in the azacitidine and 14 in the conventional care groups received no study drugs but were included in the intention-to-treat efficacy analysis. After a median follow-up of 21.1 months (IQR 15.1-26.9), median overall survival was 24.5 months (9.9-not reached) for the azacitidine group versus 15.0 months (5.6-24.1) for the conventional care group (hazard ratio 0.58; 95% CI 0.43-0.77; stratified log-rank p=0.0001). At last follow-up, 82 patients in the azacitidine group had died compared with 113 in the conventional care group. At 2 years, on the basis of Kaplan-Meier estimates, 50.8% (95% CI 42.1-58.8) of patients in the azacitidine group were alive compared with 26.2% (18.7-34.3) in the conventional care group (p&lt;0.0001). Peripheral cytopenias were the most common grade 3-4 adverse events for all treatments.
INTERPRETATION: 
Treatment with azacitidine increases overall survival in patients with higher-risk myelodysplastic syndromes relative to conventional care.</t>
  </si>
  <si>
    <t>Feng YM, Yan HJ, Zhang YQ, Zhang C, Gao L, Kong PY, Liu Y, Zhu LD, Zeng YJ, Rao J, Su Y, Yang TH, Wang SB, Li HM, Lou SF, Zhang X. Efficacy and safety of etoposide in combination with G-CSF, low-dose cytarabine and aclarubicin in newly diagnosed elderly patients with acute myeloid leukemia. Haematologica. 2016;101:387.</t>
  </si>
  <si>
    <t>Feng YM, Yan HJ, Zhang YQ, Zhang C, Gao L, Kong PY, Liu Y, Zhu LD, Zeng YJ, Rao J, Su Y, Yang TH, Wang SB, Li HM, Lou SF, Zhang X</t>
  </si>
  <si>
    <t>Haematologica. Conference: 21st congress of the european hematology association. Denmark.  Vol.101, pp.387, 2016.</t>
  </si>
  <si>
    <t>Background: Chemotherapy for elderly patients with acute myeloid leukemia (AML) is still a great challenge. Although 50% AML patients could achieve complete remission (CR) after intensive 3+7 regimen, treatment-related toxicities (TRT) appeared particularly prominent in elderly patients. In 2013, a multicenter randomized controlled trial in southwestern China confirmed that 71.1% refractory or relapsed AML achieved CR after received etoposide combine with low-dose CAG (E-CAG) regimen, and TRT was low, with no mortality. Aims: This prospective phase II, open label, randomized controlled study was designed to assess the efficacy and safety of E-CAG induction treatment for elderly patients with newly diagnosed AML. Methods: The effect of E-CAG on the rate of CR was the main study endpoint. The median survival time and the toxicity of the E-CAG regimen were also evaluated. Results: After induction chemotherapy, patients with E-CAG regimen had a similar CR rate than did patients who received DA regimen (55.1% vs 48.9%, P=0.158). The tolerability profiles of E-CAG regimen appeared better than DA regimen. Especially, gastrointestinal reaction and III-IV bone marrow suppression. The median survival time was extended for 4 months in E-CAG group (14.3 months vs 10.3 months, P=0.042). The two-year OS probability in E-CAG group and DA group was 24.2% and 11.3%, perspectively. Summary/Conclusion: The E-CAG regimen seems promising and offers lower toxicity for the treatment of elderly patients with AML, and expected to become a bridge for non-myeloablative stem cell transplantation.</t>
  </si>
  <si>
    <t>Fianchi L, Criscuolo M, et al. Journal of Hematology and Oncology. 5 (no pagination), 2012. Article Number: 44. Date of Publication: 2012.</t>
  </si>
  <si>
    <t>Fianchi L._x000D_
_x000D_
Criscuolo M._x000D_
_x000D_
Lunghi M._x000D_
_x000D_
Gaidano G._x000D_
_x000D_
Breccia M._x000D_
_x000D_
Levis A._x000D_
_x000D_
Finelli C._x000D_
_x000D_
Santini V._x000D_
_x000D_
Musto P._x000D_
_x000D_
Oliva E.N._x000D_
_x000D_
Leoni P._x000D_
_x000D_
Spiriti A.A._x000D_
_x000D_
Dal F._x000D_
_x000D_
Hohaus S._x000D_
_x000D_
Pagano L._x000D_
_x000D_
Leone G._x000D_
_x000D_
Voso M.T.</t>
  </si>
  <si>
    <t>Journal of Hematology and Oncology. 5 (no pagination), 2012. Article Number: 44. Date of Publication: 2012.</t>
  </si>
  <si>
    <t>Background: Therapy-related myeloid neoplasms (t-MN), including myelodysplastic syndromes and acute myeloid leukemia (t-MDS and t-AML) are associated to clinical and biologic unfavorable prognostic features, including high levels of DNA methylation. Methods. We retrospectively evaluated 50t-MN patients (34 MDS and 16 AML) selected among all patients receiving azacitidine (AZA) at 10 Italian Hematology Centers. Patients had developed a t-MN at a median of 6.5years (range 1.7- 29) after treatment of the primary tumor (hematological neoplasm, 27 patients; solid tumor, 23 patients). Results: The overall response rate was 42% (complete remission: 10 patients, partial remission: 2 and hematological improvement: 8 patients) and was obtained after a median of 3 cycles (range 1-6). Median overall survival (OS) was 21months (range 1-53.6+) from AZA start. OS was significantly better in patients with less than 20% blasts, in normal karyotype t-AML and when AZA was used as front-line treatment. This was confirmed by the multivariate analysis. Conclusions: This study reports efficacy of AZA in the largest series of therapy-related MN patients treated with 5-AZA. Our data show that blasts and karyotype maintain their important prognostic role in t-MN also in the azacitidine era. © 2012 Fianchi et al.; licensee BioMed Central Ltd.</t>
  </si>
  <si>
    <t>Forsythe A, Kwon C, Bell T, Smith AT, Arondekar B, Rabe APJ. Health related quality of life (HRQoL) in acute myeloid leukemia (AML) patients not eligible for intensive chemotherapy (NIC AML): results of a systematic literature review. Haematologica.  2018 Jun 14-17</t>
  </si>
  <si>
    <t>Forsythe A, Kwon C, Bell T, Smith AT, Arondekar B, Rabe APJ</t>
  </si>
  <si>
    <t>Haematologica. Vol,CONFERENCE START: 2018 Jun 14 CONFERENCE END: 2018 Jun 17, 23rd Congress of the European Hematology Association Stockholm, Sweden</t>
  </si>
  <si>
    <t>Background: AML is diagnosed at a median age of 67; once over 60 years of age, the 5-years survival rates for patients with AML fall substantially because they are often not eligible for intensive chemotherapy (NIC). Less intensive chemotherapeutic agents and best supportive care are potential treatment options in this population. There is scant published literature on the impact of disease and treatment on the health-related quality of life (HRQoL) in NIC AML patients. Aims: We aimed to determine the reported quality of life among NIC AML patients.MethodsWe conducted a systematic literature review (SLR) of evidence on HRQoL reported in patients with NIC AML. MEDLINE, Cochrane database, and conference abstracts (EHA, ASCO, ESMO, and ASH) were searched using matches on pre-specified population, interventions, comparators, outcomes and study designs (PICOS approach) from January 2000 through November 2017 for relevant studies that reported HRQoL and patient preference utilities in NIC AML. Based on the WHO AML criteria, studies on patients with RAEB-t myelodysplastic syndrome (MDS) (≥ 20% bone marrow blast) were also included. Randomized clinical trials (RCTs), prospective observational studies and patient surveys were included. Systematic reviews and meta-analyses were used for bibliographic search. Two researchers independently selected trials, assessed trial quality, and extracted and analysed data.Results: A total of 13 records from 12 original studies were identified. These included 5 records from 4 original RCTs, 3 prospective studies, 4 patient survey studies, and 1 cost-effectiveness analysis reporting utility values. Ten studies utilized the EORTC QLQ-C30 questionnaire, 5 reported EQ-5D values. Other scales used included QOL-E, QOL Cancer Survivor, FACT-Leukemia, FACT-Fatigue, Global Fatigue Scale, FACIT Fatigue, Activities of Daily Living index and Hospital Anxiety and Depression Scale.  Four QLQ-C30 domains were considered most relevant: fatigue, physical function (PF), Global Health Status (GHS) and dyspnea. A 10-point minimally important difference (MID) threshold on a 100-point scale was assumed by a majority of studies to represent meaningful change. At baseline, NIC AML patients had poor HRQoL scores especially in fatigue (33) and GHS (50) on a 0-100 scale, with higher scores indicating better health. Low baseline HRQoL scores, especially PF and fatigue (Conclusion: Although HRQoL is highly subjective, it plays a crucial role in the treatment of AML patients. Fatigue and physical function at baseline have been identified as independent prognostic factors for overall survival with several studies showing improvement in both domains with treatment. Randomized controlled studies should incorporate evaluation of treatment impact on patient’s physical function and fatigue as important measures of effectiveness. </t>
  </si>
  <si>
    <t>Forsythe A, Arondekar B, Tremblay G, Chan G, Su Y. Systematic Literature Review And Indirect Comparison of Glasdegib Plus Low Dose ARA-C Versus A Hypomethylating Agent For Acute Myeloid Leukemia Patients Ineligible For Intensive Chemotherapy. Value in Health. 2017;20(9):A415. doi:10.1016/j.jval.2017.08.103</t>
  </si>
  <si>
    <t>Forsythe A.
Arondekar B.
Tremblay G.
Chan G.
Su Y.</t>
  </si>
  <si>
    <t>Value in Health. Conference: ISPOR 20th Annual European Congress. United Kingdom. 20 (9) (pp A415), 2017. Date of Publication: OctoberNovember 2017.</t>
  </si>
  <si>
    <t>Objectives: In a phase 2 randomized controlled study (RCT), glasdegib (GLAS) combined with Low Dose ARA-C (LDAC), showed significantly better overall survival (OS) vs LDAC alone in previously untreated acute myeloid leukemia (AML) patients ineligible for intensive chemotherapy (NIC). Hypomethylating agents (HMAs), azacitidine (AZA) and decitabine (DEC) are considered current standard of care in this population. Our objective was to conduct an indirect treatment comparison (ITC) comparing OS for GLAS+LDAC vs. AZA and DEC. Methods: Embase, MEDLINE, Cochrane database, and conference abstracts (ASCO, ESMO, ASH) were systematically searched through 12/2016 for relevant RCTs of GLAS, AZA and DEC in NIC AML patients. Classical frequentist ITC using the Bucher method compared OS hazards ratios (HRs), 95% confidence intervals (CI) using LDAC as the common comparator. Results: Four studies met inclusion criteria: two comparing AZA to LDAC: Fenaux 2010; Dombret 2015; one comparing DEC to LDAC: Kantarjian 2012, and one comparing GLAS+LDAC to LDAC: Cortes 2016. Fenaux 2010 study was excluded due to population differences: baseline median bone marrow blasts at 23% in Fenaux 2010 vs. 49% in Cortes 2016. The remaining AZA and DEC studies were generally comparable in patient baseline characteristics to the GLAS study: age and cytogenic risk: age 75/73/76 years old, poor cytogenic risk 34%/37%/39%, in AZA/ DEC/GLAS+LDAC, respectively. In the ITC, with LDAC as the common comparator, GLAS+LDAC compared favorably with indirect HR for OS vs. AZA and DEC being 0.51 (0.35-0.75) and 0.57 (0.40-0.80), respectively. Conclusions: Using ITC, treatment with GLAS+LDAC showed significantly better OS HR than AZA and DEC in previously untreated NIC AML patients. Limitations of current analysis include mixed IC &amp; NIC population for the AZA trial, and mixed comparator arm of both LDAC and BSC for the DEC trial. Analyses using patient-level data matching baseline characteristics across studies may enable more robust ITC.</t>
  </si>
  <si>
    <t>Gallagher_ISPOR_2019 (abstract)</t>
  </si>
  <si>
    <t>Gallagher J, Russell L, Mc Alister M, Brockbank J. ISPOR EU. Conference:  ISPOR EU. 4 November 2019; Copenhagen, Denmark.</t>
  </si>
  <si>
    <t>Gallagher J, Russell L, Mc Alister M, Brockbank J</t>
  </si>
  <si>
    <t>ISPOR EU. Conference:  ISPOR EU. 4 November 2019; Copenhagen, Denmark.</t>
  </si>
  <si>
    <t xml:space="preserve">OBJECTIVES: Gemtuzumab ozogamicin (GO) was approved for use in combination with chemotherapy for the treatment of previously untreated, de novo CD33-positive acute myeloid leukaemia (AML) in April 2018. GO is associated with a longer relapse free survival time and a more durable remission relative to chemotherapy alone. The objective of this research was to estimate the clinical benefits and cost-offsets resulting from the potential introduction of a GO at a national level. METHODS: Patient level data from the ALFA-0701 trial was used to develop a cost-utility model examining the long term effects of AML management. Economic cost inputs and analysis was from the perspective of the Irish healthcare system. Costs and resource use were calculated as per HIQA guidelines. AML incidence rates were generated by applying international references to Irish population demographics. Estimates for treatment eligibility were sourced from practising haematologists. RESULTS: Over a five year period, if all eligible patients were treated with GO it was projected to result in an incremental QALY gain of 328 and 433 additional life years respectively. It was estimated that approximately 14 fewer haematopoietic stem cell transplants (HSCT) would be required during this five-year time horizon. This results in a reduction in expenditure of - 1,707,782 on HSCT. Additional disease management savings were estimated to be -1,461,818 for patients in salvage therapy and -1,783,200 on non-curative treatment. CONCLUSIONS: The reimbursement of new and innovative drugs can result in increased drug expenditure. However, the availability of more efficacious therapies earlier in the treatment process can prevent downstream management costs for relapsed or refractory conditions. In the case of GO in an Irish context, there is a potential to both improve patient outcomes and also achieve downstream cost-offsets of 4.95m over a five-year period.
</t>
  </si>
  <si>
    <t>Griffin JD, Yang H, Song Y, Kinrich D, Bui CN. Treatment Patterns and Healthcare Resource Utilization in Patients with FLT3-Mut and FLT3-Wt Acute Myeloid Leukemia: A Multi-Country Medical Chart Study. Blood. 2017;130(Suppl 1):2186.</t>
  </si>
  <si>
    <t>Griffin JD, Yang H, Song Y, Kinrich D, Bui CN</t>
  </si>
  <si>
    <t>Blood. Conference: 59th annual meeting of the american society of hematology, ASH.   2017. United states 130(Supplement 1) (no pagination):2017.</t>
  </si>
  <si>
    <t>Introduction: FLT3 is a frequently mutated gene in acute myeloid leukemia (AML) with two main types of mutations: internal tandem duplication (ITD) and point mutations in the tyrosine kinase domain (TKD). FLT-mut AML is associated with poor prognosis. With the development of new therapies in AML, especially those targeting FLT3-mut, there is a need to understand the current treatment (tx) patterns and healthcare resource utilization (HRU) among AML patients. The current study used real-world data from medical records to evaluate tx patterns and HRU among adult AML patients. Methods: Hematologists and oncologists were recruited from 10 countries (US, Canada, UK, France, Germany, Italy, Spain, Netherlands, Japan, and South Korea) from an established physician panel. Eligible patients were randomly selected by physicians and were categorized into 6 cohorts: 1) newly diagnosed (ND) FLT3-mut patients &lt;65, 2) ND FLT3-mut patients &gt;=65, 3) ND FLT3-wild type (FLT3-wt) patients &lt;65, 4) ND FLT3-wt patients &gt;=65, 5) relapsed/refractory (R/R) FLT3-mut patients, and 6) R/R FLT3-wt patients. The index date was defined as the date of initiation of first AML therapy for ND patients, and the date of R/R classification for R/R patients. FLT3-mut was based on the genetic test closest to the index date. FLT3-mut and FLT3-wt patients may harbor mutations in other genes. Baseline characteristics, tx patterns, and AML-related HRU were collected and described for each cohort. Results: The study included 1,027 AML patients-183 FLT3-mut and 186 FLT3-wt ND patients &lt;65, 136 and 159 ND patients &gt;=65, and 181 and 182 R/R patients. Mean age was 48.2 and 72.3 for ND patients &lt;65 and &gt;=65; among R/R patients, mean age of FLT3-mut patients was younger than FLT3-wt patients (53.2 vs. 56.8). Among FLT3-mut patients, 70.0% had ITD and 42.4% had TKD mutations. The study identified substantial heterogeneity in tx pattern for AML. Among ND patients &lt;65, the most common initial tx was standard-to-intermediate dose cytarabine (SDAC)-based therapies (43.2 and 55.9% for FLT3-mut and FLT3-wt), followed by hypomethylating agent (HMA)-based therapies (13.7 and 11.8%). Among ND patients &gt;=65, the most common initial tx were HMA-based therapies (36.0 and 47.2%), followed by SDAC-based therapies (30.1 and 30.8%). Among R/R patients, the most common initial tx after R/R was BSC only (39.8 and 24.7%), followed by SDAC-based therapies (12.7 and 19.2%), HMA-based therapies (9.4 and 16.5%), and low dose cytarabine-based therapies (9.4 and 15.4%). About 20-60% ND patients and 40% R/R patients received non-guideline recommended tx. Among ND patients, tx for FLT3-mut patients tended to be more aggressive than for FLT3-wt patients. For patients &lt;65, FLT3-mut patients used more high-dose cytarabine-based therapies than FLT3-wt patients (13.7 vs 9.7%); for patients &gt;=65, fewer FLT3-mut patients used HMA-based therapies than FLT3-wt patients (36.0 vs 47.2%). The proportion of patients who received stem cell transplant was higher in FLT3-mut vs. FLT3-wt patients (ND&lt;65: 29.2 vs. 24.3%; ND&gt;=65: 13.6 vs. 8.5%; R/R: 23.6 vs. 18.1%). In addition, this study demonstrated that AML patients had extensive HRU. The average rate of hospitalization across all cohorts during the event-free period (i.e., the period free of R/R for ND cohorts or before next R/R for R/R cohorts) was 0.27 hosp/mo (5.4 d/mo), while the rate during the post-event period was 0.52 hosp/mo (6.5 d/mo). The average number of days of intensive care unit stays was 0.28 d/mo for the event-free period and 0.50 d/mo for the post-event period. For emergency department visits, the average rate was 0.23 visits/mo during the event-free period and 0.54 visits/mo during the post-event period. During both event-free and post-event periods, patients across all cohorts also experienced frequent outpatient visits, blood transfusions, and received extensive tx for infections. Conclusions: Using real-world data of AML patients in multiple countries, this study reveals a considerable amount of heterogeneity of tx pattern, including many tx not consistent with tx guidelines. FLT3-mut patients tended to receive more aggressive tx, consistent with fact that the mutation confers a poor prognosis. It also demonstrates extensive HRU among these patients, particularly among R/R cohorts. The study provides timely evidence to understand the current tx landscape and to highlight the substantial unmet needs among AML patients.</t>
  </si>
  <si>
    <t>Guindo PN, Carrasco HM, Gines FDF, Cuadrado EM. Economic analysis of azacitidine versus decitabine for the treatment of acute myeloid leukaemia. European Journal of Hospital Pharmacy. 2017 Mar;24:A61-A62.</t>
  </si>
  <si>
    <t>Guindo P.N.
Carrasco H.M.
Gines F.D.F.
Cuadrado E.M.</t>
  </si>
  <si>
    <t>European Journal of Hospital Pharmacy. Conference: 22nd Annual Congress of the European Association of Hospital Pharmacists, EAHP 2017. France. 24 (pp A61-A62), 2017. Date of Publication: March 2017.</t>
  </si>
  <si>
    <t>Background Acute myeloid leukaemia (AML) is the most frequent adult leukaemia. Hypomethylating agents such as azacitidine or decitabine are indicated for patients not eligible to receive intensive treatment (patients &gt;65 years of age, which represents about 70% of the total AML cases). Purpose To compare treatment costs for azacitidine and decitabine in adult AML patients, taking into consideration the stability of reconstituted vials as well as the use of vial sharing strategies. Material and methods Analysis of published stability studies and clinical trials assessing azacitidine in older patients with newly diagnosed AML with &gt;30% blasts (AZA-AML-001 study) and decitabine (DACO-16 and 17 studies-phase III and II, respectively) in the management of AML was undertaken. Results Mean number of received cycles: 4 for decitabine, 20 mg/m&lt;sup&gt;2&lt;/sup&gt; for 5 days, and 6 cycles for azacitidine, 75 mg/m&lt;sup&gt;2&lt;/sup&gt; for 7 days (28 day cycles in both cases). Reconstituted and diluted in a compatible fluid (NaCl 0.9% or dextrose 5%) decitabine bags can be kept in cold storage (2-8 degreeC) for 3 hours, plus 1 hour at room temperature (20-25degreeC) prior to administration, making vial sharing not feasible. Polypropylene azacitidine 25 mg/mL solutions were stable for 8 days at-20degreeC, allowing vial sharing. The costs per vial were decitabine 50 mg vial,  1109; azacitidine 100 mg vial,  299. Assuming a standard body surface of 1.75m&lt;sup&gt;2&lt;/sup&gt;, each decitabine cycle (5 days) costs  5545 ( 22 180 for a mean of 4 cycles), while the cost of each azacitbine cycle (7 days) was  2747 ( 16 482 for a mean of 6 cycles). Conclusion Whereas published studies report similar efficacy between both drugs, treatment with azacitidine resulted in savings of  5698 per treated patient.</t>
  </si>
  <si>
    <t>Hagiwara M, Sharma A, Chung K, Delea T. Treatment Practice Patterns, Healthcare Resource Utilization (HRU), and Costs in Newly Diagnosed Patients with Therapy-Related Acute Myeloid Leukemia (TAML) or AML with Myelodysplasia-Related Changes (AML-MRC) in a United States (US) Commercially Insured Population. Value in Health. 2018;21:S27.</t>
  </si>
  <si>
    <t xml:space="preserve">Hagiwara M, Sharma A, Chung K, Delea T. </t>
  </si>
  <si>
    <t>Value in Health. 2018;21:S27.</t>
  </si>
  <si>
    <t xml:space="preserve">Treatment practice patterns, healthcare resource utilization (HRU), and costs in newly diagnosed patients with therapy-related acute myeloid leukemia (tAML) or AML with myelodysplasia-related changes (AML-MRC) in a united states (US) commercially insured </t>
  </si>
  <si>
    <t>OBJECTIVES: Estimate HRU and costs among newly diagnosed tAML/AML-MRC patients in a US commercially insured population. METHODS: Retrospective, observational study using PharMetricsPlus¬database of adults with AML (ICD-9-CM 205.0x, corresponding ICD-10-CM) diagnosed 1/2007-6/2016 (study period), and of AML patients with evidence of myelodysplastic syndrome, hematopoietic cell transplantation (HCT), radiotherapy, or cytotoxic treatment (CT) before first AML diagnosis (index date). Patients were excluded if: first AML claim was for remission/relapse; &lt;12 months continuous enrollment pre- index; evidence of acute promyelocytic leukemia during study period. Patients with CT or HCT during post-index period were considered treated. Follow-up was partitioned into 1-6 and &gt;6 months post-index. HRU and costs were calculated by receipt of treatment and, for treated patients, time since index date. RESULTS: In the tAML/AML-MRC population, the mean age (years)/follow-up (months) was 58/16.7 and 65/8.8 in treated (n=2,080;72%) and untreated (n=821;28%) patients, respectively. Mean total costs were higher for treated ($352,606) versus untreated ($80,536) patients. Among treated patients, mean total costs were $179,863 and $172,743 during months 1-6 (mean 4.4 months) and months &gt;6 (mean 12.3 months), respectively. Among treated patients, 26% had HCT; mean costs of CT during months 1-6 were $75,137 (inpatient $54,745), representing 21% of total cost for treated patients. In the overall AML population, mean age/follow-up was 55 years/18.3 months and 60 years/16.4 months in treated (n=6,415;68%) and untreated patients (n=3,040;32%), respectively; mean total costs were $173,863 and $212,214 in months 1-6 and &gt;6, respectively, in treated patients and $79,382 in untreated patients. CONCLUSIONS: HRU and costs of managing tAML/AML-MRC patients are considerable, accrue more rapidly during first 6 months in treated patients, and are similar to that in the overall AML population, although follow-up for tAML/AML-MRC patients is shorter, possibly reflecting poorer prognosis.</t>
  </si>
  <si>
    <t>He J, Pierson R et al. Blood. Conference: 60th Annual Meeting of the American Society of Hematology, ASH 2018.</t>
  </si>
  <si>
    <t>Jianming He, PhD, Renee Pierson, MBA, Christina Loefgren, MD, PhD and David Cella, PhD</t>
  </si>
  <si>
    <t>Introduction: Acute Myeloid Leukemia (AML) is an aggressive disease associated with poor health related quality of life (HRQoL) and short overall survival (OS), particularly for patients ineligible for intensive chemotherapy. The HRQoL was evaluated in a cohort of patients with AML who were not considered eligible for standard chemotherapy based on the Functional Assessment of Cancer Therapy  Leukemia (FACT-Leu) collected at baseline of AML2002 study (NCT02472145).
Methods: This analysis was based on a randomized, phase 2/3, parallel design study conducted in patients with AML. Patients perceptions to HRQoL were evaluated using a 44item, self-reported leukemia-specific measure, FACT-Leu. It was assessed based on 5 subscales: physical well-being (PWB), social well-being (SWB), emotional well-being (EWB), functional well-being (FWB) and leukemia-specific concerns. Additionally, FACT-Leu was also evaluated based on the trial outcome index (TOI). European Quality of Life- 5 Dimension 5-Level (EQ-5D-5L) was reported based on index values and visual analogue scale (VAS). The summary statistics from the FACT-Leu was compared to the validation paper [1]. FACT-Leu by eastern cooperative oncology group (ECOG) performance status score was also assessed based on generalized linear model and the correlation among FACT-leu subscales was assessed using the Pearsons correlation coefficient
Results: Of the 309 patients (mean age 74.9 years) enrolled, 46.3% were women, 87.3% were white (Caucasian) and 70.9% had de novo AML. For these patients, ECOG performance status distribution was 0 (18%), 1 (41.9%) and 2 (40.2%). At baseline, the mean index values for VAS of EQ-5D-5L were 0.68 and 62.5, respectively, and the mean FACT-Leu was 119.6. Except SWB, other FACTLeu subscale and aggregated scores highly correlated with FACT-Leu (0.74-0.96; p&lt;0.0001). Both index values (0.65) and VAS of EQ-5D-5L (0.57) showed moderate correlation with FACT-Leu. The EQ-5D-5L (0.71) and VAS (0.60) showed moderate correlation with FACT-TOI (p&lt;0.0001). Except SWB and EWB, other FACT-Leu subscales and aggregated scores showed predicted differences in means based on the ECOG score, with higher scores associated with better ECOG status. However, compared to the results of the validation paper [1], the mean subscale scores of AML ineligible for intensive chemo therapy were lower. In addition to ECOG status, sex was also a significant predictor of FACT-Leu subscales as aggregated scores except SWB and EWB with men reporting better scores.
Conclusions: FACT-Leu scores were significantly associated with PS and sex. The lower mean subscale scores in Patients with AML ineligible for intensive chemotherapy highlight the need for new therapies to improve patient HRQoL in this group of patients and suggested that there is a need for optimized instruments for women. The FACT-Leu tool could facilitate targeted population interventions, potentially improving quality of life.
[1] Cella, Value in Health 15 (2012) 1051-1058</t>
  </si>
  <si>
    <t>Hills R, Thomas I et al. Blood. Conference: 60th Annual Meeting of the American Society of Hematology, ASH 2018.</t>
  </si>
  <si>
    <t>Robert Hills, MA, DPhil, MSc, Ian Thomas, Alan Burnett, MD, Claire Jane Hemmaway, MD, Helen Dignum, Nigel Russell and Michael Dennis, MD, MRCP, FRCPath</t>
  </si>
  <si>
    <t>Introduction: With a median age of diagnosis in the late 60s, many patients with Acute Myeloid Leukemia (AML) are deemed unsuitable for conventional curative therapy (typically anthracycline and ara-C). The decision may be based upon a patients age, cytogenetic profile, fitness, comorbidities, or indeed a preference for less-intensive therapy. Survival in these patients has traditionally been poor with &lt;20% typically surviving at 2 years, whether treated with regimens such as low-dose ara-C (LDAC) or hypomethylating agents. There is a clear unmet clinical need in these patients both to improve survival and also to maximise quality of life (QoL) in that period. The UK NCRI LI-1 trial has evaluated a number of novel agents, either as monotherapy or in combination with LDAC. While some agents have improved remission rates, none has so far demonstrated improved survival. However, achievement of remission may itself represent an improvement for the patient. We therefore evaluated the impact of remission on patient QoL.
Methods: Within the LI-1 trial, QoL using EORTC, QLQ30C and EQ-5D3L was collected at baseline, 3, 6 and 12 months. Summary scores were calculated according to the scoring manuals for these instruments with QLQ30C summarised using the summary score obtained from the 13 individual dimensions. QLQ30C and EQ5D Visual Analogue Score (VAS) were scored from 0-100; the EQ5D utility score had a maximum of 1 (equating to perfect health). For the purposes of this analysis data from all trial arms were combined. Comparisons at individual timepoints were performed using Students t-test, with Mixed Models Repeated Measures analysis performed to give overall differences across timepoints.
Results: A total of 1653 questionnaires (baseline n=827; 3 month n=402; 6 month n=280, 12 month n=143) were received from 833 patients. On all measures, QoL was lower in patients not surviving to the next assessment point (Figure); using repeated measures analysis, patients who died before the next QoL assessment point had QLQ30C summary score 8.65 (6.68-10.61) points lower, EQ5D utility score 0.11 (0.08-0.14) points lower, and EQ5D VAS 7.73 (5.13-10.34) lower (all p&lt;.0001). After early deaths had been excluded, there were no significant differences in baseline quality of life between those patients who entered remission and those who did not on any measure. In an analysis where patients who died within 90 days of the assessment were excluded to allow for the effect of impending mortality on QoL, patients who were in remission at a post-baseline timepoint had significantly improved QLQ30C summary score (difference 4.27 (0.06-8.48), p=0.05), and EQ5D utility score (difference 0.08 (0.02-0.14) p=0.008), but EQ5D VAS was not significantly different by remission status (-1.32 (-7.57-4.93) p=0.7). When individual timepoints were considered, point estimates favoured remission for QLQ30C summary score, and EQ5D utility score at all time points, reaching significance at 3 months on both scores, and at 6 months on the EQ5D utility score.
Conclusion: This is the largest study to date of quality of life in this population. Patients who died demonstrated a downturn in QoL, measured either using QLQ30C, EQ5D Utility Score or EQ5D VAS at the assessment immediately prior to their death. In particular, early mortality was associated with lower QoL at baseline, although there was considerable overlap meaning it is unlikely that QoL alone can be used to guide treatment. Additionally, in patients achieving complete remission, both the QLQ30C and EQ5D Utility Score were significantly higher at timepoints when the patient was in remission, although differences were modest. The EQ5D VAS was not however significantly different. These data indicate that even without prolonging survival, an increase in complete remission rates may be associated with patient benefit. Clinical trials in this population should include QoL measures as a matter of course, as treatments which improve remission rates may deliver meaningful benefit in terms of QoL and health utility. Further work is required to determine whether, in light of the lack of benefit on the patients own summary measure of their QoL, these potential improvements are perceived by patients as being worthwhile.
Figure caption: Quality of Life scores at each timepoint  open boxes represent patients who die before the next assessment is due (or 18 months in the case of the 12 month assessment).</t>
  </si>
  <si>
    <t>Ingber_Blood_2010 (abstract)</t>
  </si>
  <si>
    <t>Ingber SA, Thompson K, Lam A, Mamedov A, Zhang L, Shabbir A, Good D, Chesney A, Reis MD, Cheung M, Harris V, Wells RA, Buckstein R. The effects of azacitidine on quality of life measured longitudinally in MDS patients treated at a tertiary care center. Hematology. 2010 Nov 19;116(21).</t>
  </si>
  <si>
    <t>Ingber SA, Thompson K, Lam A, Mamedov A, Zhang L, Shabbir A, Good D, Chesney A, Reis MD, Cheung M, Harris V, Wells RA, Buckstein R</t>
  </si>
  <si>
    <t>Blood. Conference: 52nd Annual Meeting of the American Society of Hematology, ASH 2010. Orlando, FL United States. Conference Publication: (var.pagings). 116 (21) (no pagination), 2010. Date of Publication: 19 Nov 2010.</t>
  </si>
  <si>
    <t>Background: Myelodysplastic syndromes (MDS) are clonal hematopoetic stem cell disorders characterized by ineffective hematopoiesis and a propensity to develop AML predicted by conventional scoring systems such as the International Prognostic Scoring System (IPSS). Azacitidine (AZA), a hypomethylating agent is indicated for high and high intermediate IPSS scores based on survival and leukemia-free survival benefits demonstrated in randomized trials (Silverman 2002, 2006, Fenaux 2009). Additionally, improvements in fatigue, dyspnea, physical functioning, affect and psychological distress were demonstrated in the CALGB study (Kornblith 2002). We previously showed that most symptom and functional domains of quality of life (QOL) are impaired in MDS patients measured by several instruments and are primarily determined by Hb and transfusion dependence (Buckstein 2009). With the exception of the CALGB paper, there is a paucity of data assessing the 'real world' QOL in MDS patients treated with AZA longitudinally. All consented patients with MDS followed at our center have QOL assessed every 3-4 months as part of routine care. We present the QOL scores of patients on AZA as assessed by the EORTC QLQ-C30, EQ-5D and a global fatigue scale. Methods: Clinically significant score differences were considered to be 10 points for the EORTC, and 0.05 for the EQ-5D. Linear regression analysis was used to detect each QOL change over time. Log-transformation was applied for all QOL scores to normalize the distribution. To search for significant predictive factors of each QOL, linear regression analysis (for continuous predictive factors) or Analysis of Variance (for binary predictive factors) was conducted at baseline. A two-sided p-value less than 0.05 was considered statistically significant. Results: 30 patients in our database were/are currently treated with AZA. The median age was 73 years, with 63% being male. Of the 26 patients with measureable IPSS scores, 54% were high/high intermediate risk. Seventy percent had a Hb &lt;100 at the time of baseline QOL prior to AZA, 50% had a ferritin &gt;= 1000 ug/L, 65% were transfusion dependent (TD) as defined by the WPSS (Malcovati 2007). Sixty-seven percent of patients were on AZA for &gt;= 4 cycles of treatment. Of the 19 TD patients only 3 became transfusion independent (TI) on AZA and 3 patients who were TI at baseline became TD. Of the 30 patients, 20 have QOL data available for analysis with a median follow up time of 10 weeks (range 0-80) and an interval duration between QOL assessments of 15.5 weeks. Fourteen out of twenty patients have serial QOL assessments, 5 with two, 9 with three or more. The only clinically significant improvements were observed with the EORTC physical functioning and fatigue subscales but constipation scores were higher and global health status/QOL deteriorated over time (Figure 1). At baseline assessment ferritin &gt;= 1000 ug/L was negatively associated with physical functioning (p=.0007), cognitive functioning (p=.0012), global QOL (p=.0048) and global fatigue (p=.0003) while transfusion dependence was not predictive of QOL scores. No significant clinical improvements were detected by linear regression or ANOVA over time, but constipation worsened using both models. The health utilities (determined by the summary score of the EQ-5D) are seen in table 1. (Figure presented) Conclusion: Many clinically important function and symptom domains of 3 different QOL instruments have not changed significantly over time in our patients receiving AZA. This is likely explainable by the limited sample size and serial number of assessments in our patients. Our present patient population is higher risk than that tested in the CALGB study and our previous report on the MDS patients in our database. Furthermore, we have yet to see the rates of transfusion independence that might be associated with improved QOL. The negative association of increased ferritin with numerous symptom and function scores may simply be a surrogate for the extent of transfusion dependence. We hope that with longer follow up and larger sample size, we will be able to reproduce the QOL benefits observed in the pivotal CALGB trial (Kornblith 2002).</t>
  </si>
  <si>
    <t>Jacob LA, Aparna S, Lakshmaiah KC, Lokanatha D, Babu G, Babu S, Appachu S. Decitabine Compared with Low-Dose Cytarabine for the Treatment of Older Patients with Newly Diagnosed Acute Myeloid Leukemia: A Pilot Study of Safety, Efficacy, and Cost-Effectiveness. Advances in hematology. 2015.</t>
  </si>
  <si>
    <t>Jacob LA, Aparna S, Lakshmaiah KC, Lokanatha D, Babu G, Babu S, Appachu S</t>
  </si>
  <si>
    <t>Advances in hematology.  2015(no pagination):2015.</t>
  </si>
  <si>
    <t>Introduction. The incidence of Acute Myeloid Leukemia (AML) increases progressively with age and its treatment is challenging. This prospective case control study was undertaken to compare the safety, efficacy, and cost-effectiveness of decitabine with those of cytarabine in older patients with newly diagnosed AML who are not fit for intensive chemotherapy. Materials and Methods. 30 eligible patients above 60 years old with newly diagnosed AML were assigned to receive decitabine or cytarabine. The primary end point was overall survival (OS). The secondary objective was to compare adverse events and cost-effectiveness of therapy in the two study groups. Results. In this study, 15 patients received decitabine and 15 patients received cytarabine. The median OS was 5.5 months for each of the treatment groups. The hazard ratio between the treatment groups was 0.811 with 95% CI of 0.390 to 1.687. Toxicity profile was similar in both groups. Cost per cycle of chemotherapy in INR was 24,200 for decitabine and 1,600 for low-dose cytarabine group. Median of simplified cost-effectiveness ratio was 0.00022 for decitabine group and 0.0034 for low-dose cytarabine group. Conclusions. For elderly patients with AML, decitabine and low-dose cytarabine should be chosen based on the patient's choice and affordability. Our study has shown that both of these agents have similar OS and toxicity. Low-dose cytarabine scores over decitabine in developing countries as it is more cost-effective.</t>
  </si>
  <si>
    <t>Jannsen E, et al.Preferences for AML treatments - using a discrete choice experiment to inform a community led patient-focused drug development initiative. Value in Health. 2018 May 19-23</t>
  </si>
  <si>
    <t>Janssen et al</t>
  </si>
  <si>
    <t xml:space="preserve"> Value in Health. 2018 May 19-23</t>
  </si>
  <si>
    <t>Preferences for aml treatments - using a discrete choice experiment to inform a community led patient-focused drug development initiative</t>
  </si>
  <si>
    <t>OBJECTIVES: Acute myeloid leukemia (AML) is a progressive blood cancer with few treatment options. We sought to estimate heterogeneity in treatment preferences of patients with AML and to inform a community led patient-focused drug development initiative. METHODS: The study was guided by two advisory committees of patients, caregivers, and AML experts. We designed a paired-comparison DCE across five attributes (event free survival (EFS), complete remission (CR), length of hospital stay, and severity of short-term side effects and long-term side effects. We used a three-block D-efficient experimental design with 9 choice tasks per block. Results were analyzed using latent class models with continuously coded attribute levels. Logistic regression was used to identify factors related to starting the DCE and to describe latent classes. RESULTS: 322 patients with AML participated in the study (36% response rate). 28 people (9%) did not start the DCE. They were less likely to have experienced an allogeneic transplant (p = 0.03) and diarrhea (p=0.03). Latent class analysis identified two groups. Class 1 (37%) assigned most importance to a 10% increase in CR (preference estimate: 3.1) compared to other attributes (preference estimates between -.6 and 0.3). Class 2 (63%) assigned relatively less importance to CR (preference estimate: 0.7) compared to the other attributes (preference estimates between -.7 and 0.3). Participants in Class 1 were more likely to (strongly) agree that they had self-control (p=0.01), to have suffered from fatigue (p = 0.02) or organ failure (p&lt;.01), and to have had an allogeneic transplant (p&lt;0.01). CONCLUSIONS: The identified preference heterogeneity highlights the need to consider attributes in addition to CR in AML treatment decisions. Those who did and did not start the DCE were mostly similar in observed characteristics suggesting that the preferences of people that did not complete the DCE might still have been reflected.</t>
  </si>
  <si>
    <t>Kantarjian HM, Martinelli G, Jabbour EJ, Quintas-Cardama A, Ando K, Bay J-O, Wei A, Gropper S, Papayannidis C, Owen K, Pike L, Schmitt N, Stockman PK, Giagounidis A. Stage i of a phase 2 study assessing the efficacy, safety, and tolerability of barasertib (AZD1152) versus low-dose cytosine arabinoside in elderly patients with acute myeloid leukemia. Cancer. 2013 Jul 15;119(14):2611-2619.</t>
  </si>
  <si>
    <t>Kantarjian H.M.
Martinelli G.
Jabbour E.J.
Quintas-Cardama A.
Ando K.
Bay J.-O.
Wei A.
Gropper S.
Papayannidis C.
Owen K.
Pike L.
Schmitt N.
Stockman P.K.
Giagounidis A.</t>
  </si>
  <si>
    <t>Cancer. 119 (14) (pp 2611-2619), 2013. Date of Publication: 15 Jul 2013.</t>
  </si>
  <si>
    <t>Stage i of a phase 2 study assessing the efficacy, safety, and tolerability of barasertib (AZD1152) versus low-dose cytosine arabinoside in elderly patients with acute myeloid leukemia.</t>
  </si>
  <si>
    <t>BACKGROUND In this phase 2 study, the authors evaluated the efficacy, safety, and tolerability of the Aurora B kinase inhibitor barasertib compared with low-dose cytosine arabinoside (LDAC) in patients aged &gt;=60 years with acute myeloid leukemia (AML). METHODS Patients were randomized 2:1 to receive either open-label barasertib 1200 mg (as a 7-day intravenous infusion) or LDAC 20 mg (subcutaneously twice daily for 10 days) in 28-day cycles. The primary endpoint was the objective complete response rate (OCRR) (complete responses [CR] plus confirmed CRs with incomplete recovery of neutrophils or platelets [CRi] according to Cheson criteria [also requiring reconfirmation of CRi &gt;=21 days after the first appearance and associated with partial recovery of platelets and neutrophils]). Secondary endpoints included overall survival (OS) and safety. RESULTS In total, 74 patients (barasertib, n = 48; LDAC, n = 26) completed &gt;=1 cycle of treatment. A significant improvement in the OCRR was observed with barasertib (35.4% vs 11.5%; difference, 23.9%; 95% confidence interval, 2.7%-39.9%; P &lt;.05). Although the study was not formally sized to compare OS data, the median OS with barasertib was 8.2 months versus 4.5 months with LDAC (hazard ratio, 0.88; 95% confidence interval, 0.49-1.58; P =.663). Stomatitis and febrile neutropenia were the most common adverse events with barasertib versus LDAC (71% vs 15% and 67% vs 19%, respectively). CONCLUSIONS Barasertib produced a significant improvement in the OCRR versus LDAC and had a more toxic but manageable safety profile, consistent with previous studies. © 2013 American Cancer Society.</t>
  </si>
  <si>
    <t>Kantarjian_JCO_2012</t>
  </si>
  <si>
    <t>Kantarjian HM, Thomas XG, Dmoszynska A, Wierzbowska A, Mazur G, Mayer J, Gau JP, Chou WC, Buckstein R, Cermak J, Kuo CY, Oriol A, Ravandi F, Faderl S, Delaunay J, Lysak D, Minden M, Arthur C. Multicenter, randomized, open-label, phase III trial of decitabine versus patient choice, with physician advice, of either supportive care or low-dose cytarabine for the treatment of older patients with newly diagnosed acute myeloid leukemia. Journal of clinical oncology. 2012;30(21):2670-2677.</t>
  </si>
  <si>
    <t>Kantarjian HM, Thomas XG, Dmoszynska A, Wierzbowska A, Mazur G, Mayer J, Gau JP, Chou WC, Buckstein R, Cermak J, Kuo CY, Oriol A, Ravandi F, Faderl S, Delaunay J, Lysak D, Minden M, Arthur C</t>
  </si>
  <si>
    <t>Journal of clinical oncology.  30(21):2670-2677, 2012.</t>
  </si>
  <si>
    <t>Multicenter, randomized, open-label, phase III trial of decitabine versus patient choice, with physician advice, of either supportive care or low-dose cytarabine for the treatment of older patients with newly diagnosed acute myeloid leukemia</t>
  </si>
  <si>
    <t>PATIENTS AND METHODS: Patients (N = 485) age &gt;= 65 years were randomly assigned 1:1 to receive decitabine 20 mg/m(2) per day as a 1-hour intravenous infusion for five consecutive days every 4 weeks or TC (supportive care or cytarabine 20 mg/m(2) per day as a subcutaneous injection for 10 consecutive days every 4 weeks). The primary end point was overall survival (OS); the secondary end point was the complete remission (CR) rate plus the CR rate without platelet recovery (CRp). Adverse events (AEs) were recorded.
RESULTS: The primary analysis with 396 deaths (81.6%) showed a nonsignificant increase in median OS with decitabine (7.7 months; 95% CI, 6.2 to 9.2) versus TC (5.0 months; 95% CI, 4.3 to 6.3; P = .108; hazard ratio [HR], 0.85; 95% CI, 0.69 to 1.04). An unplanned analysis with 446 deaths (92%) indicated the same median OS (HR, 0.82; 95% CI, 0.68 to 0.99; nominal P = .037). The CR rate plus CRp was 17.8% with decitabine versus 7.8% with TC (odds ratio, 2.5; 95% CI, 1.4 to 4.8; P = .001). AEs were similar for decitabine and cytarabine, although patients received a median of four cycles of decitabine versus two cycles of TC. The most common drug-related AEs with decitabine were thrombocytopenia (27%) and neutropenia (24%).
CONCLUSION: In older patients with AML, decitabine improved response rates compared with standard therapies without major differences in safety. An unplanned survival analysis showed a benefit for decitabine, which was not observed at the time of the primary analysis.
PURPOSE: This multicenter, randomized, open-label, phase III trial compared the efficacy and safety of decitabine with treatment choice (TC) in older patients with newly diagnosed acute myeloid leukemia (AML) and poor- or intermediate-risk cytogenetics.</t>
  </si>
  <si>
    <t>Kenealy M, Hertzberg M, Benson W et al. Azacitidine with or without lenalidomide in higher risk myelodysplastic syndrome &amp; low blast acute myeloid leukemia. Haematologica. 104 (4) (pp 700-709), 2019. Date of Publication: 31 Mar 2019.</t>
  </si>
  <si>
    <t xml:space="preserve">Kenealy M.
Hertzberg M.
Benson W.
Taylor K.
Cunningham I.
Stevenson W.
Hiwase D.
Eek R.
Zantomio D.
Jong S.
Wall M.
Blombery P.
Gerber T.
Debrincat M.
Zannino D.
Seymour J.F.
</t>
  </si>
  <si>
    <t>Haematologica. 104 (4) (pp 700-709), 2019. Date of Publication: 31 Mar 2019.</t>
  </si>
  <si>
    <t>Standard treatment for higher risk myelodysplastic syndromes, chronic myelomonocytic leukemia and low blast acute myeloid leukemia is azacitidine. In single arm studies, adding lenalidomide had been suggested to improve outcomes. The ALLG MDS4 phase II trial randomized such patients to standard azacitidine or combination azacitidine (75mg/m&lt;sup&gt;2&lt;/sup&gt;/d days 1 to 5) with lenalidomide (10mg days 1-21 of 28-day cycle from cycle 3) to assess clinical benefit (alive without progressive disease) at 12 months. A total of 160 patients were enrolled; median age 70.7 years (range 42.5-87.2), 31.3% female with 14% chronic myelomonocytic leukemia, 12% acute myeloid leukemia and 74% myelodysplastic syndromes. Adverse events were similar in both arms. There was excellent delivery of protocol therapy (median azacitidine cycles 11 both arms) with few dose reductions, delays or early cessations. At median follow up 33.1 months (range 0.7-59.5), the rate of clinical benefit at 12 months was 65% azacitidine arm and 54% lenalido-mide+azacitidine arm (P=0.2). There was no difference in clinical benefit between each arm according to WHO diagnostic subgroup or IPSS-R. Overall response rate was 57% in azacitidine arm and 69% in lenalido-mide+azacitidine (P=0.14). There was no difference in progression-free or overall survival between the arms (each P&gt;0.12). Although the combination of lenalidomide and azacitidine was tolerable, there was no improvement in clinical benefit, response rates or overall survival in higher risk myelodysplastic syndrome, chronic myelomonocytic leukemia or low blast acute myeloid leukemia patients compared to treatment with azacitidine alone. This trial was registered at www.anzc-tr.org.au as ACTRN12610000271000._x000D_
Copyright © 2019 Ferrata Storti Foundation.</t>
  </si>
  <si>
    <t>Kulikov A, Yagudina R, Misikova B. Pharmacoeconomic evaluation of acute myeloid leukemia and mds syndromes (intermediate and high risk) treatment with azacitidine in the russian federation. Value in Health. 2012 Nov;15(7):A423.</t>
  </si>
  <si>
    <t>Kulikov A.
Yagudina R.
Misikova B.</t>
  </si>
  <si>
    <t>Value in Health. Conference: ISPOR 15th Annual European Congress. Berlin Germany. Conference Publication: (var.pagings). 15 (7) (pp A423), 2012. Date of Publication: November 2012.</t>
  </si>
  <si>
    <t>OBJECTIVES: To assess the cost-effectiveness of azacitidine in treatment of acute myeloid leukemia and MDS syndromes in the Russian Federation. METHODS: To conduct the cost-effectiveness analysis of acute myeloid leukemia and MDS syndromes treatment we evaluated costs of diagnostics, treatment of the disease, side effects and blood transfusions for azacitidine and low dose cytarabine. The efficacy data of drugs (median survival-MS) was obtained from clinical trial AZA-001. MS for azacitidine was 2,04 years and for low dose cytarabine - 1,28 years. Medical care costs were estimated from the national standard of myeloid leukemia treatment, which was developed and published by Russian Ministry of public health. At the last stage sensitivity analysis was conducted. Exchange rate 1= 42 RUB. RESULTS: The cost of pharmacotherapy with azacitidine was 1 197 157 RUB (28 503) and with low dose cytarabine 22 841,51 RUB (544). Total costs of treatment were 2 658 703RUB (63302 ) for azacitidine and 1 749 130 RUB (41646) for low dose cytarabine. Side effects treatment costs were about 40% of total costs for cytarabine, while for azacitidine only about 14% of total costs. A cost-effectiveness ratio (cost per 1 year gained) of azacitidine was 1 303 286 RUB (31030) which is lower then the use of cytarabine 1 366 507,73 RUB (32536). Sensitivity analysis demonstrated stability of results. CONCLUSIONS: Application of azacitidine for the therapy of acute myeloid leukemia and MDS syndromes is dominant alternative of treatment from the pharmacoeconomical perspective.</t>
  </si>
  <si>
    <t>Kumar R, Skrabek P, Burns P, Geirnaert M, Lozar B, Bucher O, Bourrier V, Navaratnam S. A prospective population based study on the cost and utilization of azacitidine in Manitoba: Implications for health technology assessment. Leukemia Research. 2013 May;37:S116.</t>
  </si>
  <si>
    <t>Kumar R.
Skrabek P.
Burns P.
Geirnaert M.
Lozar B.
Bucher O.
Bourrier V.
Navaratnam S.</t>
  </si>
  <si>
    <t>Leukemia Research. Conference: 12th International Symposium on Myelodysplastic Syndromes, MDS 2013. Berlin Germany. Conference Publication: (var.pagings). 37 (pp S116), 2013. Date of Publication: May 2013.</t>
  </si>
  <si>
    <t>Background: Health technology assessment (HTA) is being increasingly used to evaluate funding of drugs utilizing data from phase III trials. Introduction: The AZA 001 trial demonstrated efficacy of azacitidine (AZA) in patients with MDS (Lancet-Oncol 2009). However the UK agency NICE did not initially recommend its use. Purpose: To compare the cost and budget impact of AZA use in the "real-world" compared to the AZA 001 trial. Materials and Methods: All patients in Manitoba (population 1.25 million) initiated on AZA from March 2009 to 30 April 2012 were prospectively studied, excluding those on clinical trials. Drug utilization included any AZA administration until 30 June 2012. Indications which met Health Canada criteria were termed as 'approved indications' (AI) while others were classified as 'non-approved indications' (NAI). The number of vials utilized, including wastage, was used to calculate the cost of the AZA. Cost/100 mg vial was $628 in CAD. Results: 27 patients received AZA for 20 AIs and 9 NAIs. Diagnoses in AIs were: RCMD - 5, RAEB-1 in 3, RAEB-2 in 7 and AML (RAEB-t)- 5. Response for AIs was 50%: CR (15%),marrow CR with HI (10%), and HI (25%). AZA was given for 9 NAIs. Number of vials used was 1950 with cost $1,224,600. Total cycles of AZA administered were 164; with full dose in 115 (Table 1). In the AZA 001 trial, a median of 9 cycles were given and the projected cost of treatment per patient is $79,128. Our study showed that the actual cost per patient for AIs was $51,464. In 33% cases, the doses were reduced or cycles attenuated. There was an additional cost due to use in NAIs, representing 18.9% of the cost incurred in AIs. Conclusions: Patients in the 'real-world' are less tolerant to adverse effects. These factors led to a 35% reduction in the projected cost. Our study suggests that use of phase IV data may provide a more reliable model for HTA and budget impact. For drugs with established clinical efficacy, conditional approval may be granted to generate phase IV data, before a final pharmaco-economic evaluation.</t>
  </si>
  <si>
    <t>Kurosawa S, Yamaguchi H, Yamaguchi T, Fukunaga K, Yui S, Wakita S, Kanamori H, Usuki K, Uoshima N, Yanada M, Shono K, Ueki T, Mizuno I, Yano S, Takeuchi J, Kanda J, Okamura H, Inamoto Y, Inokuchi K, Fukuda T. Decision Analysis of Postremission Therapy in Cytogenetically Intermediate-Risk Acute Myeloid Leukemia: The Impact of FLT3 Internal Tandem Duplication, Nucleophosmin, and CCAAT/Enhancer Binding Protein Alpha. Biology of Blood and Marrow Transplantation. 2016 Jun 01;22(6):1125-1132.</t>
  </si>
  <si>
    <t>Kurosawa S.
Yamaguchi H.
Yamaguchi T.
Fukunaga K.
Yui S.
Wakita S.
Kanamori H.
Usuki K.
Uoshima N.
Yanada M.
Shono K.
Ueki T.
Mizuno I.
Yano S.
Takeuchi J.
Kanda J.
Okamura H.
Inamoto Y.
Inokuchi K.
Fukuda T.</t>
  </si>
  <si>
    <t>Biology of Blood and Marrow Transplantation. 22 (6) (pp 1125-1132), 2016. Date of Publication: 01 Jun 2016.</t>
  </si>
  <si>
    <t>Decision Analysis of Postremission Therapy in Cytogenetically Intermediate-Risk Acute Myeloid Leukemia: The Impact of FLT3 Internal Tandem Duplication, Nucleophosmin, and CCAAT/Enhancer Binding Protein Alpha.</t>
  </si>
  <si>
    <t>We performed a decision analysis comparing allogeneic hematopoietic cell transplantation (allo-HCT) versus chemotherapy in first complete remission for patients with cytogenetically intermediate-risk acute myeloid leukemia, depending on the presence or absence of FLT3-internal tandem duplication (ITD), nucleophosmin (NPM1), and CCAAT/enhancer binding protein alpha (CEBPA) mutations. Adjusted means of the patient-reported EQ-5D index were used as quality-of-life (QOL) estimates. In 332 patients for which FLT3-ITD status was available, FLT3-ITD was present in 60. In 272 patients without FLT3-ITD, NPM1 mutations were present in 83. CEBPA biallelic mutations were detected in 53 patients. For patients harboring FLT3-ITD, allo-HCT improved life expectancy (LE) (52 versus 32 months during 10-year observation) and QOL-adjusted life expectancy (QALE, 36 versus 21). Monte-Carlo simulation identified allo-HCT as the favored strategy in 100% of simulations. In patients without FLT3-ITD, allo-HCT improved LE/QALE with or without NPM1 mutations. However, sensitivity analyses showed that the results were not robust enough. For patients harboring CEBPA biallelic mutations, chemotherapy was favored (LE, 53 versus 84; QALE, 37 versus 59), whereas, for patients with monoallelic mutations or wild-type CEBPA, allo-HCT was favored (LE, 68 versus 54; QALE, 48 versus 37). Sensitivity analyses did not change the results in either group. In conclusion, based on a Markov decision analysis, allo-HCT was a favored postremission strategy in patients with FLT3-ITD, and chemotherapy was favored in patients with biallelic CEBPA mutations. A prospective study is warranted to determine the value of allo-HCT, especially in FLT3-ITD-negative patients. Copyright © 2016 The American Society for Blood and Marrow Transplantation.</t>
  </si>
  <si>
    <t>Kwon Y, Bell T, Solem C, Cappelleri J, Johnson C, Bhattacharyya H, Hoang C, Cortes J. Blood. Conference: 61th Annual Meeting of the American Society of Hematology, ASH 2019.</t>
  </si>
  <si>
    <t>Youngmin Kwon, Timothy J Bell, Caitlyn Solem, Joseph C Cappelleri, Courtney Johnson, Helen Bhattacharyya, Caroline Hoang, Jorge Cortes</t>
  </si>
  <si>
    <t>Blood. Conference: 61th Annual Meeting of the American Society of Hematology, ASH 2019.</t>
  </si>
  <si>
    <t>Introduction: The efficacy and safety of glasdegib (a selective oral inhibitor of hedgehog signaling pathway) in combination with low-dose cytarabine (LDAC) was evaluated in a randomized, phase 2 trial of newly diagnosed acute myeloid leukemia (AML) patients (BRIGHT AML 1003; NCT01546038). Patients receiving glasdegib+LDAC experienced statistically significant and meaningful gains in overall survival (OS) compared with patients receiving LDAC alone (median OS [95% CI]): 8.3 months [4.7-12.2] vs 4.3 months [1.9-5.7]). This analysis examined whether quality-adjusted survival improvements were similarly observed using a quality-adjusted time without symptoms of disease progression or toxicities (Q-TWiST) approach to evaluate possible trade-offs between time with adverse events (toxicities), time in relapse/progression (i.e., with symptoms of disease), and good survival (i.e., time without toxicities or symptoms of progression [TWiST]) when comparing regimens.
Methods: OS in BRIGHT AML 1003 data, restricted to a follow-up of 20 months, was partitioned into time with toxicity (TOX: grade 3+ adverse events prior to progression), TWiST, and time post-progression (REL). Progression was defined as treatment discontinuation due to insufficient clinical response or death; patients who discontinued for other reasons (including adverse events) were censored at the date of discontinuation unless death occurred within 28 days of discontinuation. Q-TWiST was calculated by multiplying restricted mean time in each state by respective utilities (U) and then summing up the utility-adjusted time. Base case analysis used U(TOX)=U(REL)=0.5 and U(TWiST)=1.0; threshold analyses were performed varying U(TOX) and U(REL) jointly each from 0 to 1. Relative gains in Q-TWiST (i.e., Q-TWiST difference (combination vs LDAC) / OS in LDAC arm) of 15% were considered clearly clinically meaningful per the clinical literature. Sensitivity analysis varied the length of follow-up and AE definitions; subgroup analyses were also performed. 95% confidence intervals were obtained using the bootstrap procedure.
Results: At 20 months of follow-up, the survival rate for glasdegib+LDAC and LDAC arm was 28.2% and 7.9%, respectively. Glasdegib+LDAC patients (n=78) compared with LDAC patients (n=38) had significantly longer mean time in TWiST (+3.4 [95% confidence interval: 1.8, 5.2] months) and TOX (+0.8 [0.1, 1.6] months), and longer but non-significant REL (+0.3 [-1.9, 2.3] months). Q-TWiST was 4.0 [2.1, 5.8] months longer for glasdegib+LDAC, translating into a 75% relative improvement in quality-adjusted survival relative to LDAC alone. In threshold analyses, absolute and relative Q-TWiST gains ranged from 3.5 to 4.5 months and 66% to 85%, respectively (Table 1). They exceeded the clinically meaningful threshold for gains in Q-TWiST and were statistically significant across all combinations of U(TOX) and U(REL). Results were robust to length of follow-up 6 to 24 month and remained significant when including all adverse events regardless of grade.
Discussions/Conclusions: Glasdegib+LDAC is an add-on therapy that has demonstrated significant survival benefits for newly diagnosed AML patients who are unable to receive intensive chemotherapy. While patients can experience a longer time with toxicities from receiving glasdegib+LDAC (as expected since it is given as an add-on therapy), the trade-off can still be favorable as the treatment provides added time spent in good health (i.e., a significantly longer time in TWiST). In the BRIGHT AML 1003 cohort, the relative gains in OS greatly exceeded previously established thresholds for being clearly clinically meaningful, which suggests that the benefits of glasdegib+LDAC vs LDAC alone outweigh the risks.</t>
  </si>
  <si>
    <t>Kwon C, Brandt P, Manson S, Fuentes-Alburo A, Forsythe A. Treatment Patterns and Health Care Resources Use (HCRU) in Patients with Acute Myeloid Leukemia (AML): Real World Evidence (RWE) from 30 US Institutions. Blood. 2017;130(Suppl 1):5655.</t>
  </si>
  <si>
    <t>Kwon C.
Brandt P.
Manson S.
Fuentes-Alburo A.
Forsythe A.</t>
  </si>
  <si>
    <t>Blood. Conference: 59th Annual Meeting of the American Society of Hematology, ASH 2017. United States. 130 (Supplement 1) (no pagination), 2017. Date of Publication: December 2017.</t>
  </si>
  <si>
    <t>Background: AML is an aggressive hematological malignancy that is fatal if left untreated, it is therefore considered a medical emergency. Intensive chemotherapy (IC) is considered the standard of care in newly-diagnosed AML. The goal of treatment is to induce complete remission, with possible stem cell transplantation (SCT). Patients who are unfit for IC usually receive hypomethylating agents (HMA), azacitidine or decitabine. Many patients relapse and undergo salvage treatment. AML treatment is complex and requires significant healthcare resource use (HCRU) at each treatment phase. However, real world data on treatment patterns and HCRU in these patients are limited. Aims: The aim of this research was to compare treatment patterns and HCRU in AML patients who are newly-diagnosed and experiencing remission or relapse. Methods: This study used TriNetx syndicated electronic medical records network containing records for inpatient/outpatient services and procedures, diagnoses, adverse events, prescription drugs, and labs for over 30 million patients from 27 US hospital institutions. ICD-10 diagnosis disease codes were used to subgroup patients into three mutually exclusive cohorts: newly-diagnosed, in remission, and in relapse. Patient demographics and proportions of patients treated with IC, HMA, and SCT as well as the market shares for specific treatments were collected. HCRU of interest included hospitalizations, emergency room and physician visits, diagnostic radiology tests, and platelet and red blood cell transfusions. Rates of HCRU were calculated over the 6 months following treatment initiation in newly-diagnosed or relapsed patients and over the 6 months post-remission. The rates of HCRU across three cohorts were compared using Z-tests (two-tailed alpha=0.05). Results: Among 29,730 identified AML patients, mean age was 58 (SD 22), 54% were male, 61% were white, and 27% had prior myelodysplastic syndromes (MDS). Of these patients, 57% were newly-diagnosed, 27% were in remission, and 13% were in relapse. Newly-diagnosed patients were 62 (SD 21) years old on average, 55% were male, 57% were white, and 27% had prior MDS. Among treated newly-diagnosed AML patients, 47% received IC, and 23% received HMA. The most common IC combinations were cytarabine+daunorubicin (48%), cytarabine+fludarabine (36%), cytarabine+idarubicin (34%), and cytarabine+mitoxantrone (26%). Among patients treated with HMA, 65% were on azacytidine and 42% were on decitabine. Treatment patterns for patients in relapse were similar to those for newly-diagnosed patients, with slightly higher rates of IC (56%) and HMAs (28%). Among patients in remission who were previously treated with IC, 45% received SCT in addition to IC. HCRU varied significantly between patient cohorts. AML patients in remission demonstrated significantly lower rates of hospitalizations, diagnostic radiology tests, and red cell and platelet transfusions, while the rates of office visits were significantly higher and there was no significant difference in the rates of ER visits as compared to newly-diagnosed patients. The rates of all HCRU were significantly higher among patients in relapse as compared to newly-diagnosed patients (Table). Conclusions: This study offers real world evidence on the treatment of AML patients in the US. Most patients received IC, with cytarabine+daunorubicin as most common combination treatment. As expected, HCRU was significantly lower for patients in remission and significantly higher for patients in relapse, as compared to newly-diagnosed patients. Treatments that increase remission rates and decrease relapse rates may lead to significant improvements in the economic burden of AML.</t>
  </si>
  <si>
    <t>Lachowiez CA, Kearney M, Meyers G, Cook RJ. Healthcare Consumption Amongst Older Patients with High Risk AML Treated with Hypomethylating Agents Is Similar to That of Patients Receiving Induction Chemotherapy. Blood. 2017;130(Suppl 1):2155.</t>
  </si>
  <si>
    <t>Lachowiez C.A.
Kearney M.
Meyers G.
Cook R.J.</t>
  </si>
  <si>
    <t>Background AML is a disease of older adults, with an average age at diagnosis of 67. Patients with high risk disease considered unfit for induction chemotherapy are often candidates for hypomethylating agents (HMA), namely azacitidine and decitabine. These agents have shown promise in this population, with several trials demonstrating a benefit to overall survival compared to best supportive care alone. Yet the healthcare consumption associated with HMA therapy is less clear. HMAs are thought to be well tolerated, with significantly less non-hematological side effects compared to intensive induction therapy. However, the non-medical burden-primarily social and economic- due to these agents and associated toxicities has yet to be compared to intensive induction therapy. Methods We queried 492 patients at our institution between 2010-2016 with a new diagnosis of AML. Inclusion criteria were older patients (age &gt;65) with cytogenetically high risk AML treated with either HMAs or intensive induction. 84 patients fit the inclusion criteria for this study. Patients were assessed for chemotherapy regimen at time of diagnosis, transplant free survival (TFS; defined as the time period from diagnosis to death or hematopoietic stem cell transplant (HSCT), whichever occured first), encounters in the healthcare setting (office or hospital), charges accrued until death or HSCT, blood transfusions (red blood cells and platelets) administered, and overall survival. Results 31 patients received HMAs and 53 underwent intensive (7+3 or equivalent) induction therapy. 30 patients underwent HSCT (HMA:7, Intensive induction: 23). Mean age was 69 years in the intensive induction arm and 73 years in the HMA arm. The groups were well matched according to treatment related mortality probability (TRM) scores (10.4% intensive induction vs. 15.4% HMA group. p-value :0.086). Median transplant free survival (TFS) was 257 days in the HMA group vs. 337 days in the intensive induction group (p-value : 0.10). The mean number of encounters with the healthcare system (inpatient and outpatient encounters) was not significantly different between HMA vs. intensive induction groups (27.3 days vs 34.9 days p-value: 0.48). Mean encounters per TFS (defined as total encounters per individual divided by the individual patient's TFS) was 28.6% in the HMA group vs. 35.5% in the intensive group. The HMA group received a mean of 24.4 transfusions vs. 19.3 in the intensive induction group (pvalue : 0.25). Differences in charges per day between groups did not vary significantly, with the HMA group averaging $1202.64 per day and the intensive induction group $1051.38 per day (p-value : 0.079). Mean overall survival was 472 days in the intensive induction group without HSCT, and 1102 days with HSCT. In the HMA group, overall survival was 258 days without HSCT, and 815 days with HSCT respectively. 30 day treatment related mortality was low in both groups (HMA= 3%, Intensive induction= 5%). Conclusion Patients receiving hypomethylating agents comprise a group of patients who are traditionally thought to have a significantly less amount of healthcare consumption when compared to patients undergoing intensive induction. This data demonstrates that patients receiving HMA therapy spent nearly a third of their remaining survival in contact with the healthcare setting, whether inpatient or outpatient. This is nearly equivalent to the time spent in the healthcare setting of their disease risk matched peers undergoing intensive induction. Patients treated with HMAs also received a similar number of blood product transfusions compared to patients undergoing intensive induction. Thus, HMA therapy requires supportive care that is comparable to intensive induction amongst older patients with cytogenetically high risk AML, and is associated with nearly equivalent amounts of healthcare consumption. Given that it may take 4-6 months to see the full hematological effect with HMA therapy, this data may help better educate and guide treatment choices between the clinician and patient when deciding on therapy for older high risk AML patients. (Figure Presented).</t>
  </si>
  <si>
    <t>Lafeuille M-H, Sundaram M, Hoehn D, Emond B, Romdhani H, Lefebvre P. Managing Acute Myeloid Leukemia in Older Patients: Are We Making Progress? An Analysis of Treatment Patterns and Healthcare Resource Utilization. Blood. 2017;130(Suppl 1):4714.</t>
  </si>
  <si>
    <t>Lafeuille M.-H.
Sundaram M.
Hoehn D.
Emond B.
Romdhani H.
Lefebvre P.</t>
  </si>
  <si>
    <t>BACKGROUND: Despite advances in the understanding of disease pathogenesis, improved treatment strategies, and evidence of better survival with treatment, a large proportion of older patients (pts) with acute myeloid leukemia (AML) remains untreated and has poor outcomes. The aim of this study is to describe current treatment patterns in pts with AML aged &lt;60, 60-64, and &gt;=65 years (yrs), and assess healthcare resource utilization (HRU) in pts with AML aged &lt;65 and &gt;=65 yrs in a real-world claims database. METHODS: AML pts were retrospectively identified in the MarketScan Research Database (Truven Health) including both Commercial and Medicare Supplemental claims databases between 01/2011 to 07/2016. Pts with &gt;=2 AML diagnoses, &gt;=1 bone marrow procedure (the first AML diagnosis following the procedure was defined as the index date), and &gt;=12 months of continuous eligibility (baseline period) prior to the index date were included. Exclusion criteria were &gt;=1 diagnosis for AML relapse or remission on or before the bone marrow procedure, &gt;=2 diagnoses for another blood cancer, and &gt;=1 allogeneic hematopoietic stem cell transplantation before the bone marrow diagnosis procedure. Furthermore, pts aged &gt;=65 yrs at the index date were excluded if they had &gt;=1 claim for intensive chemotherapy at any time. The observation period spanned from index date up to the first of health plan disenrollment or the end of data availability. To accommodate different age cut-offs in accordance with National Comprehensive Cancer Network treatment guidelines, top treatments (excluding hormonal therapy agents) received post-AML diagnosis were reported in pts aged &lt;60, 60-64, and &gt;=65 yrs. Listings that lacked codes for specific chemotherapy agents, but offered adequate International Classification of Diseases codes were included and reported as "unknown antineoplastic agents". HRU, including days of hospital stay, days with outpatient services, days with emergency room visits, days with hospice care, and days with durable medical equipment use, was evaluated in pts &lt;65 and &gt;=65 yrs old. To account for varying length of follow-up among pts, HRU was reported per patient per month. RESULTS: After applying the selection criteria, 2,954 AML pts were identified: 1,492 pts &gt;=65 yrs old (mean [SD] age: 76.8 [7.0]; 36.6% were &gt;=80 yrs old; mean [SD] follow-up: 212 [255] days) and 1,462 pts &lt;65 yrs old (mean [SD] age: 51.8 [11.5]; mean [SD] follow-up: 350 [350] days), including 468 (32.0%) aged 60-64 yrs and 994 aged &lt;60 yrs. Pts &lt;60 yrs old received the most therapeutic interventions (i.e., &gt;=1 antineoplastic agent, &gt;=1 blood transfusion, or &gt;=1 hematopoietic stem cell transplant), followed by pts 60-64 and pts &gt;=65 yrs old (Fig. 1). Type of antineoplastic agents (excluding hormonal therapy agents) received varied by age group with "other antineoplastic agent" (other than HMAs and excluding hormonal therapy agents) and "unknown antineoplastic agent" more commonly used in younger pts. Hypomethylating agents (HMAs) were more commonly used in older pts (Fig. 1). In pts aged &lt;60, 60-64, and &gt;=65 yrs treated with &gt;=1 HMA, azacitidine was given in 56.2%, 59.8%, and 55.7% of pts and decitabine was given in 50.5%, 47.1%, and 51.2%, respectively. In pts &lt;60 yrs who received "other antineoplastic agents", tretinoin (31.2%), cytarabine (30.6%), and arsenic trioxide (22.4%) were most commonly used. Pts 60-64 yrs old received cytarabine (30.7%), hydroxyurea (20.5%), and tretinoin (17.3%) as most common agents. Pts &gt;=65 yrs old received most commonly hydroxyurea (53.4%) and cytarabine (14.3%). Post-AML diagnosis, pts &gt;=65 yrs old had half the monthly all-cause average number of inpatient days compared to pts &lt;65 yrs old (mean [SD]: 3.74 [5.28] vs. 7.74 [7.14]). Differences in the number of days with outpatient services (mean [SD]: 5.64 [4.62] vs. 5.27 [4.25]) or emergency room visits (mean [SD]: 0.22 [0.52] vs. 0.10 [0.30]; Fig. 2) were smaller. CONCLUSION: This study revealed that &gt;40% of older AML pts (&gt;=65 yrs) did not receive any antineoplastic therapy. This group also had fewer inpatient days compared to younger AML pts (&lt;65 yrs old). These results show that despite medical advances, a large proportion of older AML pts remains either untreated or undertreated, revealing important unmet needs and suggesting that AML treatment has to face a much-needed expansion to improve disease management in this population. (Figure Presented).</t>
  </si>
  <si>
    <t>Lafeuille M-H, Sundaram M, Lefebvre P, Emond B, Romdhani H, Senbetta M. Burden of illness in patients with acute myeloid leukemia aged o65 years ineligible for intensive chemotherapy. Journal of Clinical Oncology. 2017 Jun 20;35(15 Supplement 1).</t>
  </si>
  <si>
    <t>Lafeuille M.-H.
Sundaram M.
Lefebvre P.
Emond B.
Romdhani H.
Senbetta M.</t>
  </si>
  <si>
    <t>Journal of Clinical Oncology. Conference: 2017 Annual Meeting of the American Society of Clinical Oncology, ASCO. United States. 35 (15 Supplement 1) (no pagination), 2017. Date of Publication: 20 Jun 2017.</t>
  </si>
  <si>
    <t>Background: Management of older patients with acute myeloid leukemia (AML) is challenging due to a higher comorbidity burden, poorer performance status and less favorable biology. This study assessed treatment patterns and healthcare resource utilization (HRU) in the US in patients diagnosed with AML aged &gt;=65 years who did not receive intensive chemotherapy. Methods: Patients aged &gt;=65 years with &gt;=2 diagnoses for AML were identified from the Truven Health MarketScan Analytics Databases (01/01/2011-07/31/2016). Patients had &gt;=1 bone marrow diagnosis procedure (BX; first AML diagnosis following BX defined as the index date), &gt;=12 months of continuous eligibility pre-index, no treatment with intensive chemotherapy at any time, no diagnosis for AML relapse or remission or stem cell transplant before BX, and &lt;2 diagnoses for other blood cancers pre-index. Post-index treatment patterns and HRU were reported. Results: 1,492 patients with AML were identified (mean [standard deviation] age: 76.8 [7.0] years; 61% males). Mean post-index follow-up was 212 (255) days and 43% were treated with antineoplastic agents (AA). Most common first-line treatments were azacitidine (35%), decitabine (32%) and hydroxyurea (16%). 4% received low-dose cytarabine. Patients with &gt;=1 blood transfusion (61%) received 8.9 (9.5) transfusions per month during 177 (244) days on average. A total of 3% received stem cell transplant. Patients had a mean of 3.7 (5.3; pre-index: 0.4 [0.7]) days of hospitalization, 0.2 (1.4; pre-index: 0.0 [0.2]) days of hospice care, and 5.2 (4.5; pre-index: 2.6 [2.4]) office visits per month post-index. Compared to treated patients, untreated patients (32%; i.e., patients with no AA, blood transfusion or stem cell transplant) had fewer days of post-index followup (106 vs. 263), more days of hospitalization (4.8 vs. 3.2), and of hospice care (0.4 vs. 0.1), and fewer office visits (3.8 vs. 5.8) per month (all P&lt;0.01). Conclusions: Patients &gt;=65 years diagnosed with AML not receiving intensive chemotherapy incurred more HRU after AML diagnosis. About a third was untreated and had higher HRU than treated patients. This suggests major unmet needs for well-tolerated treatment options for these patients.</t>
  </si>
  <si>
    <t>Laing AA, McKay P, Drummond M. Elderly acute myeloid leukaemia (AML): Treatment patterns, trial participation, inpatient resource use and outcomes: A single-centre experience. British Journal of Haematology. 2017 Mar; 176:33-34.</t>
  </si>
  <si>
    <t>Laing A.A.
McKay P.
Drummond M.</t>
  </si>
  <si>
    <t>British Journal of Haematology. Conference: 57th Annual Scientific Meeting of the British Society for Haematology. United Kingdom. 176 (pp 33-34), 2017. Date of Publication: March 2017.</t>
  </si>
  <si>
    <t>Elderly AML remains a therapeutic challenge and is characterized by increased treatment-toxicity and disproportionately worse survival with increasing age. Biological age is not a good indicator of assessing those who would benefit from treatment and participation in clinical trials. Historically, patients within this age group have had less access to treatment and recruitment into age-appropriate studies. Typically an assessment of performance status, comorbidities, cytogenetic and molecular markers should be undertaken and individual treatment plans made. We retrospectively collected data from a cohort of 68 patients over the age of 60 years with AML presenting to North Glasgow hospitals between January 1, 2010 and December 31, 2015. Data was collected using electronic patient records and a chemotherapy electronic prescribing system. We collected baseline characteristics for patients including age, sex, presenting full blood count, marrow blast count, World Health Organisation (WHO) classification and cytogenetics. An Eastern Cooperative Oncology Group (ECOG) performance status score and a Cumulative Illness Rating Score- Geriatric (CIRS-G) score was calculated for each patient based on clinical information available and correlated with treatment plans, clinical trial recruitment and inpatient bed use. The patients were split into three treatment categories for analysis: intensive, non-intensive and supportive care (+/- single agent hydroxycarbamide). 57% (39) of our patients received treatment. 14 patients received non-intensive treatment (e.g. azacitidine, low dose cytarabine): 71.4% within a clinical trial. There were 25 patients who received intensive chemotherapy (e.g. daunorubicin and high dose cytarabine). 52% of these were treated in a clinical trial. 1 patient in this group went on to receive a reduced intensity allogeneic peripheral blood stem cell transplant in second complete remission. Patients in the intensive group were younger (mean age 68 years vs 73 non-intensive vs 79 supportive care) and there was a higher proportion of females compared to males (64% vs 52%). Patients had lower ECOG (0-1 vs 1 non-intensive vs 2 supportive) and CIRS-G scores (1 vs 4 non-intensive vs 5 supportive). There were a higher percentage of patients within the intensive group with normal cytogenetics (52% vs 36% non-intensive vs 31% supportive). The total number of inpatient days was higher in this group (96 days vs 40 days non-intensive vs 24 days supportive). There was a significant improvement in median overall survival (393 days vs 209 days non-intensive vs 89 days supportive). 21% of our total cohort was over 80 years of age. They all received supportive care. Patients with higher CIRS-G and ECOG scores, regardless of age, received supportive care. In our experience, elderly AML remains a significant challenge with poor outcomes. 57% percent of our patients received active treatment which is slightly above documented rates of 50% or less in the literature. Outcomes are improved with treatment, particularly intensive therapy, but this is associated with a greater time spent in hospital. It was encouraging to see a high proportion of treated patients enter into available trials (52% and 71.4% for intensive and non-intensive respectively). A personalized approach in cooperation with the individual patient remains the best approach to managing this group of patients.</t>
  </si>
  <si>
    <t>Lee S, Parra P, Udoyen I, et al. Factors Affecting Transfusion Utilization in Acute Myeloid Leukemia (AML) Patients Undergoing Initial Therapy. Blood. 2017;130(Suppl 1):3870.</t>
  </si>
  <si>
    <t>Lee S.
Parra P.
Udoyen I.
Grover K.
Kane K.
Desai P.
Samuel M.
Ritchie E.K.
Roboz G.J.
Cushing M.M.</t>
  </si>
  <si>
    <t>Introduction: Transfusions with red blood cells (RBC) and platelets (PLT) are essential in treatment of patients with AML. There is a paucity of data regarding transfusion utilization among patients receiving induction chemotherapy compared to non-intensive therapy such as hypomethylating agents. Transfusion support is integral to management of AML and can add significant cost to management of AML. We sought to characterize transfusion utilization among AML patients undergoing initial therapy. Methods: We examined 136 patients at Weill Cornell Medicine Leukemia program who had a diagnosis of AML and achieved complete remission (CR) from 2013 to 2017. We excluded patients with acute promyelocytic leukemia. We collected RBC and PLT transfusions from diagnosis to CR. We collected age, time from diagnosis to CR, inpatient duration, treatment modality, European Leukemia Network (ELN) classification, history of cardiovascular disease, sepsis or bacteremia during induction, Intensive Care Unit (ICU) admission, and bleeding episodes. Mann-Whitney and Kruskal Wallis (with a Nemenyi post-hoc analysis test) were used to compare the number of transfusions between different age, chemotherapy and length of inpatient stay groups. Multivariable linear regression, after log transformation of RBC and PLT transfusions, was performed against the independent variable age at diagnosis controlling for all other risk factors as described above. All analysis was conducted using R version 3.2.3. Results: Median age of AML patients was 63 (18-93), and 96 (71%) were treated with intensive induction chemotherapy. Clinical characteristics are summarized in Table 1. Intensive chemotherapy consisted mainly of 7+3, and non-intensive therapy consisted of mainly hypomethylating agents or low dose cytarabine. Median duration to achieve CR was 43 days (14-224), and median inpatient stay was 32 days (0-91). For patients who received induction chemotherapy, median time to CR and hospitalization length of stay were 36 days (14-127) and 32 days (18-78), and for a non-intensive regimen 81 days (28-224), and 32 days (0-91) respectively. Median RBC utilized from diagnosis to CR was 7 units (0-81), and median PLT was 10 units (0-42). There was no difference in RBC or PLT transfusion utilization for patients &gt;=60 compared to &lt;60. (p=0.64, p=0.70 respectively). No significant difference was found for RBC and PLT transfusions between patients receiving intensive vs. non-intensive chemotherapy (p=0.37, p=0.43 respectively). Inpatient stay (&gt;=30 days) was highly significant as a predictor of number of RBC transfusions (p&lt;0.01), but a borderline significant predictor of number of PLT transfusions (p=0.07). In a multivariate regression analysis for RBC transfusions, length of inpatient stay was the only statistically significant independent predictor (p&lt;0.001, estimated ratio of geometric means: 1.013, 95% Cl (1.007-1.019)). Each additional day of inpatient stay predicts a 1.3% increase in RBC transfusions. For an estimated mean activity-based cost of RBC transfusions at $761/unit, a 10 day increase in inpatient stay with a 13.9% increase in RBC transfusions would result in an increased cost of $1058/patient (calculated based on a median of 10 RBC units). For PLT transfusions, independent predictors were sepsis or bacteremia (p=0.01, estimate: 1.40,95% Cl, (1.079-1.83)), ICU stay (p&lt;0.01, estimate-1.80, 95% Cl, (1.18-2.75)), and lower ELN risk (p&lt;0.05, estimate: 0.73, 95% Cl (0.54-0.99)). PLT transfusions have an acquisition cost of approximately $700 per pathogen-inactivated unit. The average predicted PLT costs for patients with sepsis or bacteremia, ICU admission, or with adverse ELN risk, are $1955/patient, $3930/patient and $1313/patient respectively higher, compared to those without each event or risk factor (calculated based on a median of 7 PLT units). Conclusion: RBC and PLT transfusions are an integral component of AML treatment. In our analysis, age and induction treatment modality did not influence RBC and PLT utilization. Predictors of increased RBC utilization were increased length of inpatient stay, and for PLT utilization were sepsis or bacteremia, ELN risk, and ICU stay. RBC and PLT transfusions are valuable resources, but not without significant risk; further studies are needed for potentially decreasing utilization safely in treatment of AML patients.</t>
  </si>
  <si>
    <t>Leunis_EJH_2014</t>
  </si>
  <si>
    <t>Leunis A, Redekop WK, Uyl-de Groot CA, Lowenberg B. Impaired health-related quality of life in acute myeloid leukemia survivors: A single-center study. European Journal of Haematology. 2014 Sep;93(3):198-206.</t>
  </si>
  <si>
    <t>Leunis A.
Redekop W.K.
Uyl-de Groot C.A.
Lowenberg B.</t>
  </si>
  <si>
    <t>European Journal of Haematology. 93 (3) (pp 198-206), 2014. Date of Publication: September 2014.</t>
  </si>
  <si>
    <t>Objectives: The purpose of this study was to assess the impact of acute myeloid leukemia (AML) and its treatment on health-related quality of life (HRQOL) by comparing the HRQOL of AML survivors with the HRQOL in the general population. Methods: Two HRQOL questionnaires (EQ-5D and QLQ-C30) were sent to patients diagnosed with AML between 1999 and 2011 at a single academic hospital and still alive in 2012. HRQOL in AML survivors was compared with general population reference values. Multivariate analysis was used to identify factors associated with HRQOL in AML survivors. Results: Questionnaires were returned by 92 of the 103 patients (89%). AML survivors reported significantly worse functioning, more fatigue, pain, dyspnea, appetite loss, and financial difficulties and lower EQ-VAS scores than the general population (P &lt; 0.05). Impaired HRQOL in AML survivors was mainly found in survivors without a paid job. Other factors associated with a poor HRQOL were allogeneic hematopoietic stem cell transplantation and the absence of social support. Conclusion: This single-center study showed that the HRQOL in AML survivors is worse than the HRQOL in the general population. HRQOL in these patients can be improved by adequately treating and preventing fatigue, pain, dyspnea, and appetite loss. © 2014 John Wiley &amp; Sons A/S.</t>
  </si>
  <si>
    <t>Levy AR, Zou D, Risebrough N, Buckstein R, Kim T, Brereton N. Cost-effectiveness in Canada of azacitidine for the treatment of higher-risk myelodysplastic syndromes. Current Oncology. 2014;21(1):e29-e40.</t>
  </si>
  <si>
    <t>Levy A.R.
Zou D.
Risebrough N.
Buckstein R.
Kim T.
Brereton N.</t>
  </si>
  <si>
    <t>Current Oncology. 21 (1) (pp e29-e40), 2014. Date of Publication: 2014.</t>
  </si>
  <si>
    <t>Cost-effectiveness in Canada of azacitidine for the treatment of higher-risk myelodysplastic syndromes.</t>
  </si>
  <si>
    <t>Objective: Our goal was to determine the economic value of azacitidine in Canada compared with conventional care regimens (ccrs), including best supportive care (bsc) and low- or standard-dose chemotherapy plus bsc in the treatment of higher-risk myelodysplastic syndromes (mdss) and acute myeloid leukemia (aml) with 20%-30% blasts. Methods: The cost-utility model is a lifetime probabilistic Markov model with a 35-day cycle length consisting of 3 health states: mds; transformation to aml with more than 30% blasts; and death. A third-party public payer perspective was adopted. Overall survival was extrapolated beyond the time horizon of the aza-001 trial comparing azacitidine with ccr. Resource use was determined through a questionnaire completed by Canadian hematologists. Utility values were obtained from two studies in which EQ-5D health questionnaire values were mapped from the European Organization for Research and Treatment of Cancer qlq-C30 survey, and SF-6D scores were mapped from the Short Form 12, elicited from 191 and 43 patients in two different trials. Results: In the base case, azacitidine had an incremental cost-effectiveness ratio (icer) of $86, 182 (95% confidence limits: $69, 920, $107, 157) per quality-adjusted life year (qaly) gained relative to ccr. Comparing azacitidine with bsc, low-dose chemotherapy plus bsc, and standard-dose chemotherapy plus bsc, the icers were, respectively, $86, 973, $84, 829, and $2, 152 per qaly gained. Results were most sensitive to the utility for azacitidine after 6 months of treatment and to overall survival. Conclusions: The prolonged 9-month median overall survival with azacitidine relative to ccr fi lls a g ap w hen treating patients with higher-risk mds and aml with 20%-30% blasts. The economic value of azacitidine is within the threshold of willingness-to-pay for third-party public payers for oncology treatments in Canada. © 2014 Multimed Inc.</t>
  </si>
  <si>
    <t>Lin T.L, Strickland S, Fiedler W, Walter R.B, Hou J.Z, Roboz G.J, Enjeti A, Fakouhi K.M, Darden D.E, Dunbar M, Zhu M, Hayslip J, Wei A.H. Haematologica. Conference: 21st Congress of the European Hematology Association. Denmark. 101 (Supplement 1) (pp 374), 2016. Date of Publication: June 2016.</t>
  </si>
  <si>
    <t>Lin T.L.; Strickland S.; Fiedler W.; Walter R.B.; Hou J.Z.; Roboz G.J.; Enjeti A.; Fakouhi K.M.; Darden D.E.; Dunbar M.; Zhu M.; Hayslip J.; Wei A.H.</t>
  </si>
  <si>
    <t>Haematologica. Conference: 21st Congress of the European Hematology Association. Denmark. 101 (Supplement 1) (pp 374), 2016. Date of Publication: June 2016.</t>
  </si>
  <si>
    <t>Background: Treatment options for older patients (pts) with acute myelogenous leukemia (AML) unfit for intensive chemotherapy are limited. Expected complete remission rates for low-dose cytarabine (LDAC) are about 10% in this population. Targeting the pro-survival molecule BCL-2 has demonstrated clinical efficacy as a therapeutic strategy in various hematologic malignancies. Venetoclax (VEN), a selective BCL-2 inhibitor, shows synergy with cytarabine in several AML cell lines and primary samples. Aim(s): The primary objectives of the study include evaluating the safety of VEN administered with LDAC and preliminary estimates of efficacy. Method(s): This is a non-randomized, open-label phase 1/2 dose-escalation/ expansion study of VEN+LDAC, in treatment-naive AML pts &gt;=65 years not eligible for intensive chemotherapy. Pts receive oral VEN once daily (QD) on days 1-28 and subcutaneous LDAC 20mg/m2 QD on days 1-10 of each 28-day cycle. VEN dose escalation follows a 3+3 design; dose-limiting toxicities (DLTs: grade 4 toxicity, platelet count &lt;25,000/muL, or absolute neutrophil count &lt;500/muL within 14 days of last VEN dose) are assessed during cycle 1, up to day 42. Result(s): As of Oct 1 2015, 18 pts (66.7% male; median age 74 years) have received LDAC+VEN in the phase 1 portion (VEN 600 mg target dose [n=8]; VEN 800 mg target dose [n=10]). Median time on study is 127.5 (range 30-272) days; 9 pts (50%) remain on study. DLTs of Grade 4 thrombocytopenia lasting &gt;42 days without evidence of residual leukemia occurred in 2 pts in the VEN 800 mg dose group. The recommended phase 2 dose is 600 mg. Adverse events (AEs; &gt;=30% prevalence) were nausea (77.8%), anemia (55.6%), febrile neutropenia, neutropenia, fatigue (each 38.9%), vomiting, diarrhea and hypokalemia (each 33.3%). The most common serious AE was febrile neutropenia (33.3%). No clinically significant tumor lysis syndrome was observed. The overall response rate in phase 1 was 44% (complete remission, n=4; complete remission without complete marrow recovery, n=4; resistant disease, n=8; death before evaluation, n=2). Summary/Conclusions: Initial findings suggest that VEN+LDAC has acceptable tolerability and promising clinical activity in older, treatment-naive AML pts. Available phase 2 updates will be presented.</t>
  </si>
  <si>
    <t xml:space="preserve">Liu Y, Chen F, Guo X, Shi P, Zha J, Fan Z, Huang F, Xu B. Comparative efficacy of homoharringtonine plus cytarabine and decitabine in patients with MDS/AML. Blood. 2012 Dec 11;120(21). </t>
  </si>
  <si>
    <t>Liu Y, Chen F, Guo X, Shi P, Zha J, Fan Z, Huang F, Xu B</t>
  </si>
  <si>
    <t>Blood.  120(21):CONFERENCE START: 2012 Dec 8 CONFERENCE END: 2012 Dec 11, 54th Annual Meeting of the American Society of Hematology, ASH 2012 Atlanta, GA United States.,</t>
  </si>
  <si>
    <t>Comparative efficacy of homoharringtonine plus cytarabine and decitabine in patients with MDS/AML.</t>
  </si>
  <si>
    <t>Background: Myelodysplastic syndrome (MDS) is a malignant hematological disease that comprises a heterogeneous group of clonal hematopoietic stem and progenitor cell disorders, with peripheral cytopenias, bone marrow hypercellularity, high-risk of evolving into acute myeloid leukemia (AML). MDS/AML is a special refractory and palindromic AML characterized by poor therapeutic effects and low complete response rate, as well as high treatment-related complications and mortality. Patients with MDS/AML are often elders and represent more intolerance to routine or intensive chemotherapies. Homoharringtonine, an alkaloid found as the major active component in Chinese plants cephatotaxus fortuneif., has been widely used in AML since the 1970s in China. Decitabine, a hypomethylating agent, is active and has been approved for the treatment of myelodysplastic syndrome (MDS) in recent years. Objective: In order to compare the efficacy, toxicity and long-term prognosis of two chemotherapies HA (Homoharringtonine and cytarabine) and Decitabine regiment in MDS/AML. Methods: A total of 26 MDS/AML patients consisting of 14 males and 12 females were included in this study. They were randomly assigned to receive either HA (H 4mg.d-1,d1-3; A 100mg.m-2d-1, d1-7) or decitabine.. 20mg.m-2d-1, d1-5 The effect measures used were hazard ratios (HR) for overall survival (OS), progression-free survival (PFS) and freedom from first progression. Relative risks were used to analyse complete response rate, total response rate, treatment-related mortality and adverse events. A Log-rank test was used in survival analysis, and a Chi-square test was performed for other outcomes. Results: The complete remission (CR) rate with HA regimen according to MDS/AML criteria was 33% and 36% with decitabine (P&gt;0.05). HA group had no lower total response rate than Decitabine group (53% versus 64%, P&gt;0.05). The freedom from first progression in chemotherapy with HA regiment and decitabine was 20% and 18% (P&gt;0.05), respectively. PFS was not statistically significantly longer for two comparators with HR was 0.41(95% confidence interval (CI) 0.09722 to 1.740). There was no statistically significant difference in OS between the HA group and decitabine group with HR was 0.799 (95% CI 0.2992 to 2.133); median survival: 300 days vs 291 days (P&gt;0.05,95% confidence interval (CI) 0.6165 to 1.445). The treatment-related mortality was 13% with HA regimen versus 18% with decitabine at 3 weeks (P&gt;0.05) and 40% with HA regiment versus 18% with decitabine at 3 months (P&gt;0.05). The haematological toxicities and liver function lesion WHO grade III or IV were not significantly higher in the HA group than that in the decitabine group (P&gt;0.05). The total secondary infection rates in all sections of chemotherapies were 58% and 19% (P=0.005) in the two groups, respectively. Secondary infection rate was significantly lower in the decitabine group than that in the HA group. Conclusions: This analysis showed that Homoharringtonine and cytarabine regiment in treating MDS/AML has a similar therapeutic effect and long-term benefit with decitabine, both regiments were associated with relatively safe and effective outcomes in patients with MDS/AML. However, HA regiment shows a higher risk of secondary infection than decitabine. Longer follow-up and further studies will evaluate prospectively the results of HA regiment versus decitabine in this setting. (Figure presented).</t>
  </si>
  <si>
    <t>Lubbert M
Suciu S
Baila L
Ruter BH
Platzbecker U
Giagounidis A
Selleslag D
Labar B
Germing U
Salih HR
Beeldens F
Muus P
Pfluger KH
Coens C
Hagemeijer A
Eckart Schaefer H
Ganser A
Aul C
de Witte T
Wijermans PW</t>
  </si>
  <si>
    <t>Journal of Clinical Oncology. 29(15):1987-96, 2011 May 20</t>
  </si>
  <si>
    <t>PURPOSE: To compare low-dose decitabine to best supportive care (BSC) in higher-risk patients with myelodysplastic syndrome (MDS) age 60 years or older and ineligible for intensive chemotherapy.
PATIENTS AND METHODS: Two-hundred thirty-three patients (median age, 70 years; range, 60 to 90 years) were enrolled; 53% had poor-risk cytogenetics, and the median MDS duration at random assignment was 3 months. Primary end point was overall survival (OS). Decitabine (15 mg/m(2)) was given intravenously over 4 hours three times a day for 3 days in 6-week cycles.
RESULTS: OS prolongation with decitabine versus BSC was not statistically significant (median OS, 10.1 v 8.5 months, respectively; hazard ratio [HR], 0.88; 95% CI, 0.66 to 1.17; two-sided, log-rank P = .38). Progression-free survival (PFS), but not acute myeloid leukemia (AML) -free survival (AMLFS), was significantly prolonged with decitabine versus BSC (median PFS, 6.6 v 3.0 months, respectively; HR, 0.68; 95% CI, 0.52 to 0.88; P = .004; median AMLFS, 8.8 v 6.1 months, respectively; HR, 0.85; 95% CI, 0.64 to 1.12; P = .24). AML transformation was significantly (P = .036) reduced at 1 year (from 33% with BSC to 22% with decitabine). Multivariate analyses indicated that patients with short MDS duration had worse outcomes. Best responses with decitabine versus BSC, respectively, were as follows: complete response (13% v 0%), partial response (6% v 0%), hematologic improvement (15% v 2%), stable disease (14% v 22%), progressive disease (29% v 68%), hypoplasia (14% v 0%), and inevaluable (8% v 8%). Grade 3 to 4 febrile neutropenia occurred in 25% of patients on decitabine versus 7% of patients on BSC; grade 3 to 4 infections occurred in 57% and 52% of patients on decitabine and BSC, respectively. Decitabine treatment was associated with improvements in patient-reported quality-of-life (QOL) parameters.
CONCLUSION: Decitabine administered in 6-week cycles is active in older patients with higher-risk MDS, resulting in improvements of OS and AMLFS (nonsignificant), of PFS and AML transformation (significant), and of QOL. Short MDS duration was an independent adverse prognosticator.</t>
  </si>
  <si>
    <t>Lubbert M, Grishina O, Schmoor C, Schlenk RF, Crysandt M, Heuser M, Thol F, Schittenhelm M, Salih HR, Kundgen A, Germing U, Gotze K, Lindemann HW, Muller-Tidow C, May A, Dohner K, Duyster J, Ganser A, Hackanson B, Dohner H. Results of the decider trial (AMLSG 14-09) comparing decitabine (DAC) with or without valproic acid (VPA) and with or without ATRA in newly diagnosed elderly non-fit AML patients. Annals of Hematology. 2017 Feb;96:S84.</t>
  </si>
  <si>
    <t>Lubbert M.
Grishina O.
Schmoor C.
Schlenk R.F.
Crysandt M.
Heuser M.
Thol F.
Schittenhelm M.
Salih H.R.
Kundgen A.
Germing U.
Gotze K.
Lindemann H.W.
Muller-Tidow C.
May A.
Dohner K.
Duyster J.
Ganser A.
Hackanson B.
Dohner H.</t>
  </si>
  <si>
    <t>Annals of Hematology. Conference: International Symposium of Acute Leukemias 16th: Biology and Treatment Strategies. Germany. 96 (pp S84), 2017. Date of Publication: February 2017.</t>
  </si>
  <si>
    <t>Results of the decider trial (AMLSG 14-09) comparing decitabine (DAC) with or without valproic acid (VPA) and with or without ATRA in newly diagnosed elderly non-fit AML patients.</t>
  </si>
  <si>
    <t>Previously, we conducted a phase II trial in newly diagnosed non-fit AML pts aged 60 years and older with DAC, alone or combined with ATRA, with encouraging results (Lubbert et al., Haematologica 2012). Method: We now asked, in a 4-arm randomized phase II study (2 x 2 factorial design) whether VPA (histone deacetylase inhibitor activity) or ATRA might improve the effect of DAC monotherapy (NCT00867672). Treatment: DAC 20 mg/m&lt;sup&gt;2&lt;/sup&gt; days 1-5 (treatment arms A/B/C/D), VPA p.o. continuously (target serum levels: 50-110 mg/l) from day 6 (arms B/D), ATRA p.o. days 6-28 (arms C/D) of each 28-day course (repeated until relapse/progression, prohibitive toxicity, withdrawal or death). 204 pts were randomized, median age: 76 years (range 61-92), ECOG PS 0/1/2-3: 19/61/20%: 52% had an HCT-CI &gt;=3, 31.5% poor cytogenetics (ELN). A median of 3 DAC courses were administered. The ORR was 17.5%, median OS 6.2 months (arm A: 8.5% and 4.8 months, arm B: 17.5% and 6.1 months, arm C: 26.1% and 8.4 months, arm D: 18% and 7.7 months, respectively). Effect on ORR of VPA vs no VPA (17.8 vs 17.2%):OR1.06,CI[0.51,2.21],p=0.88; of ATRAvsnoATRA (21.9 vs 13.5%): OR 1.80, CI [0.86,3.79], p = 0.12. Effect on OS of VPA vs no VPA (6.2 vs 6.4 months median OS): HR 0.94, CI [0.70,1.28], p = 0.70; of ATRA vs no ATRA (8.2 vs 5.1 months median OS): HR 0.65, CI [0.48,0.88], p = 0.006 (after adjustment for PS, HCT-CI, WBC, LDH: HR 0.59, CI [0.43,0.82], p = 0.002). Results: Improved survival with ATRA was also seen in pts with poor cytogenetics. Toxicities (predominantly hematologic) did not show relevant differences between the 4 treatment arms. Based on this ITT analysis, the addition of ATRA to standard-dose DAC resulted in a higher ORR and in a clinically relevant extension of OS, without additional (hematologic and non-hematologic) toxicity. In contrast, the addition of VPA, at the chosen dose and schedule, did not affect ORR or OS.</t>
  </si>
  <si>
    <t>Lubbert M, Suciu S, Baila L, Ruter BH, Platzbecker U, Giagounidis A, Selleslag D, Labar B, Germing U, Salih HR, Beeldens F, Muus P, Pfluger KH, Coens C, Hagemeijer A, Eckart Schaefer H, Ganser A, Aul C, de Witte T, Wijermans PW. Low-dose decitabine versus best supportive care in elderly patients with intermediate- or high-risk myelodysplastic syndrome (MDS) ineligible for intensive chemotherapy: final results of the randomized phase III study of the European Organisation for Research and Treatment of Cancer Leukemia Group and the German MDS Study Group. ournal of Clinical Oncology. 2011 May 20;29(15):1987-96.</t>
  </si>
  <si>
    <t>Masumi Ueda, Divya Gupta, Paolo Fabrizio Caimi, Richard Creger, Jane Little, Basem M. William, Hillard M. Lazarus, Marcos J.G. De Lima, Brenda W. Cooper. Hospitalization rates in elderly, newly diagnosed acute myeloid leukemia (AML) and high-risk myelodysplastic syndrome (MDS) patients treated with azacitidine. J Clin Oncol. 2015:33(suppl; abstr e18040).</t>
  </si>
  <si>
    <t>Masumi Ueda, Divya Gupta, Paolo Fabrizio Caimi, Richard Creger, Jane Little, Basem M. William, Hillard M. Lazarus, Marcos J.G. De Lima, Brenda W. Cooper</t>
  </si>
  <si>
    <t>J Clin Oncol 33, 2015 (suppl; abstr e18040)</t>
  </si>
  <si>
    <t>Background: Azacitidine is a common treatment for elderly AML and MDS patients. We describe rates of hospitalization in an older cohort of AML or high-risk MDS patients initially treated with azacitidine.
Methods: We retrospectively reviewed 310 consecutive patients evaluated for AML and MDS at our institution from January 2010 to April 2014. We identified 56 newly diagnosed AML or high-risk MDS patients &gt; 65 years old deemed unfit for standard chemotherapy and who received azacitidine as initial treatment. Total duration of hospitalization from treatment initiation to death was collected. Log-rank test was used to compare baseline patient characteristics such as performance status, laboratory profile, cytogenetics and survival.
Results: Median survival of the 56 patients treated with azacitidine was 8.8 months (range 3.5-11.4). Median age was 72 years (range 67-78). 47% had response to therapy as defined by International Working Group criteria for MDS. Twenty-six patients (46%) were hospitalized at initiation of azacitidine, with median duration of stay of 14.5 days. 82% were hospitalized at least once after start of treatment, with median total inpatient stay of 17 days. The median number of admissions per patient was 2. Common reasons for admission after start of therapy were febrile neutropenia (36%) and localized infection (19%); bleeding, cardiac issues, and progressive disease comprised 9% of first admissions each. Only 5 (9%) patients received ICU care during the follow-up period. Median proportion of days spent inpatient out of total days of follow-up was 8.7% (range, 2.9-20.9). Median survival did not differ between those who did or did not have a response to azacitidine therapy (10 vs. 9.5 months, p = .3) nor between those receiving first course of azacitidine as outpatient vs. inpatient (10 vs. 7.5 months, p = .1).
Conclusions: Despite a high rate of hospitalization after therapy initiation in this high-risk population, the proportion of time spent inpatient was relatively low. Although it is unclear how this compares to other therapies, we conclude that managing this cohort of elderly patients in the outpatient setting is an attainable goal.</t>
  </si>
  <si>
    <t>Maurillo L, Buccisano F, et al. Annals of Hematology. 97(10):1767-1774, 2018 Oct.</t>
  </si>
  <si>
    <t>Maurillo L_x000D_
_x000D_
Buccisano F_x000D_
_x000D_
Spagnoli A_x000D_
_x000D_
Voso MT_x000D_
_x000D_
Fianchi L_x000D_
_x000D_
Papayannidis C_x000D_
_x000D_
Gaidano GL_x000D_
_x000D_
Breccia M_x000D_
_x000D_
Musto P_x000D_
_x000D_
De Bellis E_x000D_
_x000D_
Del Principe MI_x000D_
_x000D_
Lunghi M_x000D_
_x000D_
Lessi F_x000D_
_x000D_
Martinelli G_x000D_
_x000D_
Venditti A</t>
  </si>
  <si>
    <t>Annals of Hematology. 97(10):1767-1774, 2018 Oct.</t>
  </si>
  <si>
    <t>The present observational study aimed to compare the efficacy of azacitidine (AZA) and intensive chemotherapy (IC) in elderly patients with untreated acute myeloid leukemia (AML), diagnosed according to WHO criteria. In the two groups, we evaluated complete remission (CR), overall survival (OS), and disease-free survival (DFS). The AZA group included 89 patients; median age was 73 years (range 61-80) and median white blood cell count (WBCc) 2.5 x 10&lt;sup&gt;9&lt;/sup&gt;/L (range 0.27-83), 45% of the patients had BM blasts &gt;= 30%, and 44 (49%) had a secondary AML (sAML). Karyotype was evaluable in 69 patients: 51 (74%) had intermediate-risk abnormalities and 18 (26%) an unfavorable risk karyotype. IC group consisted of 110 patients who received an induction course with mitoxantrone, cytarabine, and etoposide, followed by two consolidation cycles including idarubicin, cytarabine, and etoposide. Median age was 67 years (range 61-78) and median WBCc 8.0 x 10&lt;sup&gt;9&lt;/sup&gt;/L (range 0.69-258); 44 (40%) had a sAML. Karyotype was evaluable in 88 patients, 71 (81%) had intermediate risk, and 17 (19%) unfavorable risk karyotype. To minimize the effects of treatment selection bias, adjustments were made using the propensity-score matching method, which yielded 74 patient pairs. CR rate was significantly higher in IC vs AZA group (73 vs 25%, respectively) (p &lt; 0.0001), but the 3-year OS rates and median OS were not significantly different (21.6 vs 11% and 15.8 vs 13 months, respectively). Our analysis suggests similar outcomes with AZA compared to IC. Controlled, randomized clinical trials are warranted to confirm this conclusion.</t>
  </si>
  <si>
    <t>Medeiros BC, Pandya BJ, Chen C-C, et al. Economic Burden of Treatment Episodes in Acute Myeloid Leukemia (AML) Patients in the US: A Retrospective Analysis of a Commercial Payer Database. Blood. 2017;130(Suppl 1):4694.</t>
  </si>
  <si>
    <t>Medeiros B.C.
Pandya B.J.
Chen C.-C.
Groves E.S.
Bui C.N.
Horvath L.E.
Wade R.L.</t>
  </si>
  <si>
    <t>Background: AML, a clonal disorder of hematopoietic stem cells, is estimated to affect 21,380 new U.S. patients in 2017. Detailed real-world cost estimates and comparisons of key AML treatment episodes such as high intensity chemotherapy (HIC), low intensity chemotherapy (LIC), hematopoietic stem cell transplant (HSCT) and relapsed-refractory (R/R) patient episodes in the US commercially insured population are scarce and difficult to assemble. This analysis examined the healthcare resource utilization and direct healthcare costs in various AML treatment episodes. Methods: Using a large US healthcare claims database (PharMetrics PlusTM) and linked charge detail master (CDM) hospital data, incident adult patients with &gt;= 2 outpatient or &gt;= 1 inpatient claim with an AML diagnosis between 1/1/2008 and 3/31/2016 were identified. To assure adequate data capture, patients were required to have continuous health plan enrollment for &gt;= 6 months pre and &gt;= 3 months post the first diagnosis date. Episodes evaluated include HIC induction (evidence of inpatient high dose cytarabine+anthracycline use within 3 months of diagnosis), HIC consolidation (evidence of cytarabine +/- anthracycline use within 2 months following prior HIC), LIC (evidence of low-intensity cytarabine, anthracycline, 5-azacytidine, decitabine, clofarabine , hydroxyurea or gemtuzumab ozogamicin in the outpatient setting within 3 months of diagnosis), HSCT (transplant specific diagnosis/procedure codes) and R/R patients (record of an ICD-9 diagnosis code (205.02) for relapsed AML after a prior treatment of HIC, LIC, or HSCT). Patients could contribute to more than one study episode, except HIC induction and LIC, which were mutually exclusive episode groups. Healthcare resource utilization and cost accrual began with treatment episode initiation and ended with initiation of a different AML care episode (active treatment or secondary supportive care) or end of follow-up. All cost and length of episode data are reported as mean (SD), at the population level. Results: The final study sample consisted of 1,542 HIC induction (mean age 47.0 years), 591 consolidation (mean age 47.0 years), 628 LIC (mean age 64.9 years), 1,000 HSCT (mean age 51.4 years) and 119 R/R patients (mean age 56.3 years). Total mean (SD) episode cost was highest in HSCT $329,621 ($288,707) with mean follow-up of 6.4 months; followed by HIC induction ($198,528 ($190,757)) with mean follow-up of 2.1 months; R/R cost of $145,634 ($213,724) with mean follow-up of 7.6 months; and HIC consolidation cost of $73,304 ($72,812), mean follow-up 1.5 months (Table 1). The episode cost was the lowest in LIC at $53,081($56,715), 2.0 month follow-up. For HSCT, hospitalization costs were $244,801 ($247,492), while physician office visit costs accrued at $6,017 ($12,809) and outpatient pharmacy costs of $11,398 ($25,996); 26.9% of patients had at least one emergency room (ER) visit that did not lead to hospital admission at a cost of $1,037 ($10,877). All HIC induction required hospitalization and accounted for the most of the HIC cost $178,891 ($294,500), with $2,843 ($3,831) attributed to physician's office visits and $2,868 ($4,574) for outpatient pharmacy; 28.6% had ER visit at a cost of $331 ($2,514). Hospitalization occurred in 74.8% of R/R patients at a cost of $101,420 ($185,548); physician's office visits and outpatient pharmacy costs were $3,340 ($3,872) and $6,108 ($11,348), respectively; 38.7% of patients had at least one ER visit at a cost of $683 ($1,900). For HIC consolidation episodes, hospitalization was the most costly component at $55,301 ($67,139), with $999 ($1,243) for physician's office visits and $2,269 ($4,043) for outpatient pharmacy; 26.1% had ER visit at a cost of $267 ($1,416). Although LIC patients had a relatively low hospitalization rate (35.8%), hospitalization was a major cost component at $17,764 ($43,614); while physician's office visit costs were $1,478 ($2,390) and outpatient pharmacy costs were $2,554 ($4,996), and 27.7% of patients had at least one ER visit at a cost of $340 ($1,214). Conclusions: This resource utilization and direct healthcare cost analysis establishes a substantial economic burden associated with various AML treatment episodes, notable during the HIC induction, HSCT and R/R episodes in the US. Hospitalization is a major cost driver across all episodes. New therapeutic strategies associated with less economic burden are needed. (Table Presented).</t>
  </si>
  <si>
    <t>Medeiros BC, McCaul K, Kambhampati S, et al. Randomized study of continuous high-dose lenalidomide, sequential azacitidine and lenalidomide or azacitidine in persons ≥65 years with newly-diagnosed acute myeloid leukemia. Haematologica. November 2017. doi:10.3324/haematol.2017.172353</t>
  </si>
  <si>
    <t>Medeiros B.C.
McCaul K.
Kambhampati S.
Pollyea D.A.
Kumar R.
Silverman L.R.
Kew A.
Saini L.
Beach C.L.
Vij R.
Wang X.
Zhong J.
Gale R.P.</t>
  </si>
  <si>
    <t>Haematologica. 103 (1) (pp 101-106), 2018. Date of Publication: January 2018.</t>
  </si>
  <si>
    <t>Therapy of acute myeloid leukemia in older persons is associated with poor outcomes because of intolerance to intensive therapy, resistant disease and co-morbidities. This multi-center, randomized, open-label, phase II trial compared safety and efficacy of three therapeutic strategies in patients 65 years or over with newly-diagnosed acute myeloid leukemia: 1) continuous high-dose lenalidomide (n=15); 2) sequential azacitidine and lenalidomide (n=39); and 3) azacitidine only (n=34). The efficacy end point was 1-year survival. Median age was 76 years (range 66-87 years). Thirteen subjects (15%) had prior myelodysplastic syndrome and 41 (47%) had adverse cytogenetics. One-year survival was 21% [95% confidence interval (CI): 0, 43%] with high-dose lenalidomide, 44% (95%CI: 28, 60%) with sequential azacitidine and lenalidomide, and 52% (95%CI: 35, 70%) with azacitidine only. Lenalidomide at a continuous high-dose schedule was poorly-tolerated resulting in a high rate of early therapy discontinuations. Hazard of death in the first four months was greatest in subjects receiving continuous high-dose lenalidomide; hazards of death thereafter were similar. These data do not favor use of continuous high-dose lenalidomide or sequential azacitidine and lenalidomide over the conventional dose and schedule of azacitidine only in patients aged 65 years or over with newly-diagnosed acute myeloid leukemia.
Copyright ©2018 Ferrata Storti Foundation.</t>
  </si>
  <si>
    <t>Minden MD, Dombret H, Seymour JF, Stone RM, Alibhai S, Nixon A, Kudlac A, Songer S, Beach C, Bartiromo C, Dohner H. The effect of azacitidine on health-related quality of life (HRQL) in older patients with newly diagnosed acute myeloid leukemia (AML): Results from the AZA-AML-001 trial. Haematologica. 2015 Jun 22;100:40-41.</t>
  </si>
  <si>
    <t>Minden M.D.
Dombret H.
Seymour J.F.
Stone R.M.
Alibhai S.
Nixon A.
Kudlac A.
Songer S.
Beach C.
Bartiromo C.
Dohner H.</t>
  </si>
  <si>
    <t>Haematologica. Conference: 20th Congress of the European Hematology Association. Vienna Austria. Conference Publication: (var.pagings). 100 (pp 40-41), 2015. Date of Publication: 22 Jun 2015.</t>
  </si>
  <si>
    <t>Background: Older patients (pts) with AML generally have a poor prognosis. While treatment (Tx) may extend overall survival (OS) for pts with AML, it may also cause significant toxicity and impairment of HRQL (Cheng, Leukemia, 2014). In the large, international, phase 3 AZA-AML-001 study, median OS for older pts with AML treated with azacitidine (AZA) was 10.4 months vs 6.5 months for pts who received conventional care regimens (CCR; HR=0.85; p=0.1009) (Dombret, EHA, 2014). HRQL was a prespecified secondary endpoint of the study. Aims: To evaluate changes in HRQL during Tx among pts in AZA-AML-001. Methods: Pts were aged &gt;=65 years with newly diagnosed de novo or secondary AML (&gt;30% bone marrow blasts). Before randomization, pts were preselected to receive 1 of 3 CCR per investigator choice: induction chemotherapy, low-dose cytarabine (LDC), or best supportive care only. Pts were then randomized to AZA or CCR, in which case, they received their preselected Tx. Most pts (n=312, 64%) were preselected to receive LDC. HRQL was assessed by EORTC QLQC30 questionnaire at baseline, day 1 of every other Tx cycle, and at the end-ofstudy visit, which occurred at different time points for individual pts. Analyses included only pts who completed the baseline and at least 1 post-baseline HRQL assessment. An HRQL-specific statistical analysis plan (SAP) was finalized before database lock. HRQL changes were evaluated prospectively for the AZA and CCR cohorts, and post hoc for the pt subgroup preselected to LDC who received AZA or LDC. Four of the 15 QLQ-30 domains were prespecified in the SAP as most relevant: Fatigue (primary), Global Health Status/QoL, Physical Functioning, and Dyspnea (secondary). HRQL was evaluated through cycle 9 (~32 to 34 weeks) due to subsequent small cohort sizes. A prespecified 10-point minimally important difference (MID) threshold represents meaningful change. Results: Rates of HRQL assessment compliance were fairly high overall (&gt;77% both Tx groups) except at the end-of-study visit (AZA=42%, CCR=37%). Overall, 157 AZA pts and 134 CCR pts were evaluable for HRQL (the AZA-AML-001 ITT population included 488 pts, AZA N=241, CCR N=247). The rate of attrition of evaluable pts during early Tx was higher in the CCR arm than in the AZA arm. During Tx, mean change from baseline scores with AZA or CCR showed general improvement in the 4 relevant domains (Figure). Few changes were statistically significant (p&lt;0.05) and fewer met the MID threshold. Pts receiving CCR achieved meaningful improvement in Fatigue (cycles 7, 9) and Global Health Status/QoL (cycle 9). No HRQL detriment was seen with AZA or CCR during Tx. Notably, scores varied substantially among individual pts in both Tx groups. Within the LDC preselection group, HRQL outcomes with AZA and LDC were largely consistent with the primary HRQL analysis (Figure). Pts receiving AZA achieved meaningful improvement in Fatigue (cycle 9). Summary and Conclusions: During Tx, AZA and CCR were associated with general improvement in HRQL in the 4 relevant domains, but improvements were not consistently meaningful. Importantly, for these 4 domains, there was no meaningful HRQL deterioration at the group level during Tx. Results were largely similar for AZA vs LDC. (Figure Presented).</t>
  </si>
  <si>
    <t>Mokgokong R, Mamolo C, Cappelleri J, Knight C, Brockbank J, Cawson M, Dombret H, Castaigne S. British Journal of Haematology. Conference: 59th Annual Scientific Meeting of the British Society for Hematology. United Kingdom. 185 (Supplement 1) (pp 43-44), 2019. Date of Publication: March 2019.</t>
  </si>
  <si>
    <t>Mokgokong R, Mamolo C, Cappelleri J, Knight C, Brockbank J, Cawson M, Dombret H, Castaigne S</t>
  </si>
  <si>
    <t>British Journal of Haematology. Conference: 59th Annual Scientific Meeting of the British Society for Hematology. United Kingdom. 185 (Supplement 1) (pp 43-44), 2019. Date of Publication: March 2019.</t>
  </si>
  <si>
    <t>Gemtuzumab ozogamicin (GO) combined with standard of care (SOC) chemotherapy (daunorubicin/cytarabine) is approved for newly diagnosed patients (pts) with CD33 + acute myeloid leukaemia (AML) based in part on data from the phase 3 ALFA-0701 trial (NCT00927498) of GO+SOC vs SOC in this population. We evaluated the cost-effectiveness of GO+SOC vs SOC alone for de novo AML with a UK National Health Service (NHS) and Personal Social Services perspective. We used pt-level outcomes (response rates, relapse-free/overall survival [RFS/OS], hematopoietic stem-cell transplants [HSCTs] and adverse events [AEs]), from ALFA-0701 to inform the analysis. The base-case population was a subgroup that had a clear benefit with GO addition and excluded patients with unfavourable cytogenetics; analyses of the overall study population were also conducted. Cost data were taken from UK NHS 2016 reference costs and the literature; utility data were sourced from the literature. Long-term RFS/OS projections (pts entering with primary complete remission [CR], primary induction failure or relapse) for GO+SOC vs SOC were used to generate individual transitions in a lifetime cohort state-transition model. To capture statistical cure rates associated with AML, parametric and more complex models (flexible-spline and mixture cure models [MCMs]) were explored. MCMs provided the best fit and most reliable projections and were selected as the basecase analysis. In the base-case deterministic analysis, higher per-pt costs (135,545 vs 122,088) and greater life-years (LYs; 7.24 vs 5.93) and quality-adjusted LYs (QALYs; 5.29 vs 4.30) gained were seen with GO+SOC vs SOC. The incremental cost-effectiveness ratio (ICER) was 10,240/LY and 13,561/QALY gained. Higher costs of GO+SOC were mainly attributable to drug acquisition; cost-savings were seen from relapse prevention and fewer HSCTs (Table). Mean probabilistic ICER was 17,956 (95% confidence interval [CI] 16,481-19,631). In the overall population, there were also higher per-pt costs (132,245 vs 117,472) and greater LYs (6.17 vs 5.28) and QALYs (4.51 vs 3.83) gained with GO+SOC vs SOC, with an ICER of 16,492/LY and 21,819/QALY gained; mean probabilistic ICER was 23,825 (95% CI 21,530-26,568). At a willingness-to-pay threshold of 30,000/QALY gained, the probability that GO was cost-effective was 70% in the base-case analysis and 57% in the overall population. Increased costs of adding GO to SOC were partially offset by improved outcomes. GO+SOC is a cost-effective first-line treatment option for the subgroup of pts with AML excluding those with unfavourable cytogenetics. (Table Presented) .</t>
  </si>
  <si>
    <t>Montalban-Bravo G, Huang X, Jabbour E, et al. A clinical trial for patients with acute myeloid leukemia or myelodysplastic syndromes not eligible for standard clinical trials. Leukemia. 2016;31:318.</t>
  </si>
  <si>
    <t>Montalban-Bravo G
Huang X
Naqvi K
Jabbour E
Borthakur G
DiNardo CD
Pemmaraju N
Cortes J
Verstovsek S
Kadia T
Daver N
Wierda W
Alvarado Y
Konopleva M
Ravandi F
Estrov Z
Jain N
Alfonso A
Brandt M
Sneed T
Chen HC
Yang H
Bueso-Ramos C
Pierce S
Estey E
Bohannan Z
Kantarjian HM
Garcia-Manero G</t>
  </si>
  <si>
    <t>Leukemia. 31(2):318-324, 2017 02.</t>
  </si>
  <si>
    <t>Most clinical trials exclude patients with poor performance or comorbidities. To study whether patients with these characteristics can be treated within a clinical trial, we conducted a study for patients with acute myeloid leukemia (AML) or myelodysplastic syndromes (MDS) with poor performance, organ dysfunction or comorbidities. Primary endpoint was 60-day survival. Study included stopping rules for survival and response. Treatment consisted on a combination of azacitidine and vorinostat. Thirty patients (16 with MDS, 14 with AML) were enrolled. Median follow-up was 7.4 months (0.3-29). Sixty-day survival was 83%. No stopping rules were met. Main adverse events (AEs) were grades 1 and 2 gastrointestinal toxicities. In view of these results, we expanded the study and treated 79 additional patients: 27 with azacitidine (AZA) and 52 with azacitidine and vorinostat (AZA+V). Median follow-up was 22.7 months (12.6-47.5). Sixty-day survival rate was 79% (AZA=67%, AZA+V=85%, P=0.07). Median overall survival was 7.6 months (4.5-10.7). Median event-free survival was 4.5 months (3.5-5.6). Main AEs included grades 1 and 2 gastrointestinal toxicities. Our results suggest this subset of patients can be safely treated within clinical trials and derive clinical benefit. Relaxation of standard exclusion criteria may increase the pool of patients likely to benefit from therapy.</t>
  </si>
  <si>
    <t>Montalban-Bravo G, Huang X, Jabbour EJ, Borthakur G, DiNardo CD, Pemmaraju N, Cortes JE, Verstovsek S, Kadia TM, Daver NG, Wierda WG, Alvarado Y, Konopleva M, Ravandi F, Estrov Z, Jain N, Pierola AA, Brandt M, Sneed T, Chen H-C, Yang H, Bueso-Ramos CE, Pierce S, Estey EH, Bohannan ZS, Kantarjian HM, Garcia-Manero G. A phase II clinical trial of azacitidine and vorinostat for patients with acute myeloid leukemia (AML) or myelodysplastic syndromes (MDS) with poor performance status, comorbidities, other active malignancies or organ dysfunction not eligible for conventional clinical trials. Blood. 2016 Dec 03-06;128(22).</t>
  </si>
  <si>
    <t>Montalban-Bravo G, Huang X, Jabbour EJ, Borthakur G, DiNardo CD, Pemmaraju N, Cortes JE, Verstovsek S, Kadia TM, Daver NG, Wierda WG, Alvarado Y, Konopleva M, Ravandi F, Estrov Z, Jain N, Pierola AA, Brandt M, Sneed T, Chen H-C, Yang H, Bueso-Ramos CE, Pierce S, Estey EH, Bohannan ZS, Kantarjian HM, Garcia-Manero G</t>
  </si>
  <si>
    <t>INTRODUCTION: Most clinical trials exclude patients with poor performance, organ dysfunction, and presence of other active malignancies or comorbidities. Although some of these criteria are based on clinical reasoning, patients with such clinical features have dismal expected outcomes and limited therapeutic options and could therefore have a more favorable risk/benefit ratio if treated with a low intensity investigational intervention. The current study was designed to test whether it is feasible to treat patients not eligible for conventional studies in a clinical trial. METHODS: We conducted an initial Bayesian designed single-arm study and a subsequent randomized study for patients with AML or higher-risk MDS (intermediate-2 or high risk by IPSS) with either ECOG performance status (PS) &gt;3, creatinine or bilirubin &gt;2mg/dL, presence of other malignancy or other comorbidities. Primary endpoint was survival at day 60. The study included stopping rules for survival, response and toxicity. All patients received azacitidine 75mg/m&lt;sup&gt;2&lt;/sup&gt; sc daily for 5 days. Patients in the single-arm study and in the combination arm of the randomized study also received vorinostat 200mg tid for 5 days. Cycles could be repeated every 3-8 weeks. Responses were evaluated following the revised 2006 IWG criteria for patients with MDS and the IWG 2003 recommendations for patients with AML. Comorbidities were evaluated using the Adult Comorbidity Evaluation-27 (ACE-27) index. Adverse events (AEs) were assessed and graded according to the CTCAE v4 criteria. Overall survival (OS) was censored at the time of transplant. Event-free survival (EFS) was defined as the time interval between treatment start and date of resistance, progression or death. RESULTS: A total of 30 patients (16 with MDS, 14 with AML) were enrolled in the initial single-arm study. Patient characteristics and inclusion criteria are detailed in Table 1. Median age was 73 years (44-83). Median follow-up was 7.4 months (0.3-29). Sixty-day survival was 83%. Median number of cycles administered was 3.5 (1-12). The overall response rate (ORR) was 40% with 8 (27%) patients achieving CR, 4 with AML and 4 with MDS. Median OS was 7.8 months (0.3-29, CI 7.54-8.03) (Figure 1A) and median EFS was 5.1 months (0.3-15.9, CI 4.87-5.37) (Figure 1B). Stopping rules for survival and response were not met. Main adverse events (AEs) where grade 1-2 gastrointestinal toxicities. Mortality at 4 and 8 weeks was 10 and 20% respectively. A total of 79 patients were enrolled in the subsequent randomized study: 27 to azacitidine (A) and 52 to azacitidine and vorinostat (A+V). Patient characteristics and inclusion criteria are also shown in Table 1. Median age was 70 years (30-90). Forty-seven (59%) patients had MDS and 32 (41%) had AML. Median follow-up was 22.7 months (12.6-47.5). Sixty-day survival rates were 67% (A) and 85% (A+V), respectively (p=0.07). No differences in ORR (48% vs 46%, p=0.87), OS (6.1 vs 7.6 months, p=0.49) (Figure 1C) or EFS (3 vs 5.5 months, p=0.05) (Figure 1D) were observed between groups. Main AEs included grade 1-2 gastrointestinal toxicities with a higher proportion of AEs with A+V (81 vs 56%). Mortality at 4 and 8 weeks was 10% (A: 4, A+V: 4) and 19% (A: 9, A+V: 6) respectively. By univariate analysis neither PS &gt;3, creatinine or bilirubin &gt;2mg/dL nor presence of other malignancy were predictive for 60-day survival, OS or EFS. There were no significant differences in survival between patients with ACE-27 scores of 0-1 compared to 2-3 both in the single-arm (6.3 vs 7 months, HR=0.88, 95% CI 0.41-1.91, p=0.75) and the randomized phase of the study (A: 13.5m vs 6.1m, HR 0.93, 95% CI 0.27-3.17, p=0.9 and A+V: 12.1m vs 7.4m, HR 1.38, 95% CI 0.61-3.14, p=0.4). CONCLUSION: Most enrolled patients met the study's primary endpoint of survival at 60 days without major toxicity. Patients obtained clinical benefit with acceptable responses and survival despite their high comorbidity burden. Our results support the feasibility of treating patients with MDS or AML not eligible to other clinical trials due to poor performance status, comorbidities or organ dysfunction, with low intensity therapies within a clinical trial. These findings suggest relaxation of such criteria may likely increase the pool of clinical trial patient candidates and allow access to potential beneficial therapies for patients with otherwise dismal prognosis.</t>
  </si>
  <si>
    <t>Morais L, Diaz-Valdes M, Pola A, Bernal S, Alonzo-Alvarez S, Colado E, Bernal Teresa. Palliative care indications in oncohematologic patients: a comparison to solid tumor patients. Haematologica.  2018 Jun 14-17</t>
  </si>
  <si>
    <t>Morais L, Diaz-Valdes M, Pola A, Bernal S, Alonzo-Alvarez S, Colado E, Bernal Teresa</t>
  </si>
  <si>
    <t>Background: In spite of recent diagnostic and treatment progress, the prognosis of elderly patients diagnosed of acute myeloid leukemia or higher-risk myelodysplastic (AML-MDS) syndrome remains dismal; even in those patients who are fitted enough to receive chemotherapy or hypomethylating agents, median survival is near 12 months. According to actual end-of-life care (EOL) standards, this population should receive early palliative care (PC), integrated with standard oncologic care. Conversely, recent evidence shows and excess of aggressiveness in this population. The reasons of this need to be determined, but it is suggested that poor performance status and transfusion dependency of hematological patients are barriers that restrict the applicability of palliative care.Aims: To compare EOL care in AML-MDS and stage-IV lung cancer in a tertiary care center and identify factors related to late or no palliative care (PC) referral.MethodsConsecutive AML &gt; 65 years and stage-IV lung cancer patients were studied. Data is shown as percentage or median (interquartilic range). Univariant comparisons of the main indicators of EOL aggressiveness between the 2 cohorts were done using Chi-square or Wilcoxon tests as appropriate. Survival was calculated from diagnosis to death or last follow up using Kaplan-Meier curves and log-rank tests.Results: From 1st June 2006 to 8th February 2017, 77 patients with AML-MDS and 98 stage-IV lung cancer patients were recorded. Median age at diagnosis was 75 (70-79) and 63 (59-71) years respectively (pConclusion: Although transfusion dependency is a major need of AML patients, rate of referral to palliative care unit is disproportionately low, indicating the need of earlier PC referral. </t>
  </si>
  <si>
    <t>Mozessohn L, Cheung MC, et al. British Journal of Haematology. 181(6):803-815, 2018 06.</t>
  </si>
  <si>
    <t>Mozessohn L_x000D_
_x000D_
Cheung MC_x000D_
_x000D_
Fallahpour S_x000D_
_x000D_
Gill T_x000D_
_x000D_
Maloul A_x000D_
_x000D_
Zhang L_x000D_
_x000D_
Lau O_x000D_
_x000D_
Buckstein R</t>
  </si>
  <si>
    <t>British Journal of Haematology. 181(6):803-815, 2018 06.</t>
  </si>
  <si>
    <t>The outcome of myelodysplastic syndrome (MDS) patients with uniformly higher-risk disease treated with azacitidine (AZA) in the 'real-world' remains largely unknown. We evaluated 1101 consecutive higher-risk MDS patients (International Prognostic Scoring System intermediate-2/high) and low-blast count acute myeloid leukaemia (AML; 21-30% blasts) patients treated in Ontario, Canada. By dosing schedule, 24.7% received AZA for seven consecutive days, 12.4% for six consecutive days and 62.9% by 5-2-2. Overall, median number of cycles was 6 (range 1-67) and 8 (range 6-14) when restricted to the 692 (63%) patients who received at least 4 cycles. The actuarial median survival was 11.6 months [95% confidence interval (CI) 10.7-12.4) for the entire cohort and 18.0 months (landmark analysis; 95% CI 16.6-19.1 months) for those receiving at least 4 cycles. There was no difference in overall survival (OS) between the 3 dosing schedules (P = 0.87). In our large 'real-world' evaluation of AZA in higher-risk MDS/low-blast count AML, we demonstrated a lower than expected OS. Reassuringly, survival did not differ by dosing schedules. The OS was higher in the 2/3 of patients who received at least 4 cycles of treatment, reinforcing the necessity of sustained administration until therapeutic benefits are realised. This represents the largest 'real-world' evaluation of AZA in higher-risk MDS/low-blast count AML._x000D_
Copyright © 2018 John Wiley &amp; Sons Ltd.</t>
  </si>
  <si>
    <t>Mozessohn L, Cheung M et al. Blood 2018 132:834; doi: https://doi.org/10.1182/blood-2018-99-110223</t>
  </si>
  <si>
    <t>Lee Mozessohn, Matthew Cheung, Nicole Mittmann, Craig C Earle, Ning Liu, Rena Buckstein</t>
  </si>
  <si>
    <t>Blood 2018 132:834; doi: https://doi.org/10.1182/blood-2018-99-110223</t>
  </si>
  <si>
    <t xml:space="preserve">Background: Azacitidine (AZA) use in higher-risk MDS has been adopted because it improves survival. Despite this, "real-world" data on the economic impact and resource utilization remains unknown. We used the Ontario provincial AZA MDS registry, which captures all AZA-treated patients in the province, to analyze "real-world" data on healthcare use, associated costs and their predictors in AZA treated higher-risk patients._x000D_
Methods: We linked the provincial MDS AZA registry (single-payer/universal access), which captures baseline characteristics and treatment response for all AZA-treated patients in Ontario, to population-based health system administrative databases. Only higher-risk MDS patients (IPSS intermediate-2, high) and low blast count AML (21-30% blasts) treated from May 30, 2010 to March 16, 2015 were included. Patients were followed for 24 months following first AZA treatment and censored at the earliest of 90 days after last AZA treatment, date of death, time of acute leukemia induction/allogeneic stem cell transplant or March 31, 2016. We estimated healthcare resource utilization and the mean (and overall) standardized 28-day healthcare cost in Canadian dollars ($1 CDN = 0.76 USD$). Quantile regression was used to explore predictors of cost. Negative binomial regression models were used to explore predictors for higher rate of emergency department (ED) visits, and for longer length of stay, with the natural logarithm of length of follow-up as an offset variable in each model._x000D_
Results: The registry had 652 higher-risk MDS and 225 low blast count AML patients (n = 877) with median follow up of 8 months (IQR 4-13). Median age was 73 years (IQR 66-79), 66.0% were male, 17.8% were secondary MDS and IPSS scores of those calculable were intermediate-2 (64.9%) and high-risk (35.1%). At the time of AZA initiation, 587 patients (66.9%) were transfusion dependent. The median number of cycles received was 6 (range 3 to 11) and median overall survival was 16.1 months (95% CI 13.9 to 18.3). Overall, 705 patients (80.4%) had at least 1 ED visit and 290 (33.1%) had an ED visit during their first cycle of AZA. In addition, 680 patients (77.5%) had at least 1 hospital admission with a mean hospital stay of 17.7 days (95% CI 16.3 to 19.1) over the entire study period. 141 patients (16.1%) required admission to an intensive care unit. Older age (Rate ratio [RR] = 1.33, 95% CI 1.09-1.62), rurality (RR=1.75, 95% CI 1.42-2.15), high IPSS score (RR=1.31, 95% CI 1.06-1.62), and increased comorbidity level were each independent predictors of increased ED visits; while higher comorbidity level (RR=1.51, 95% CI 1.08-2.11), high IPSS score (RR=1.39, 95% CI 1.01-1.92), and transfusion dependence (RR=1.51, 95% CI 1.13-2.01) were associated with longer hospital stays._x000D_
The overall mean cost was $146,675 per patient (95% CI $139,537 to $153,812) including AZA and $103,580 (95% CI 98,675 to 108,486) excluding AZA drug costs. The mean standardized cost per 28-day period per patient was $17,638 (95% CI $16, 870 to $18,407) with AZA and $13,450 (95% CI $12,730 to $14,170) without AZA drug costs. Inpatient admissions ($4,631, 95% CI $4,010 to $5,251) and non-physician outpatient cancer clinic costs ($6,092, 95% CI $5,851 to $6,333) were the major cost drivers. Excluding AZA costs, the mean standardized 28-day costs were higher in those receiving less than 4 cycles of AZA (n= 295) at $19,408 (95% CI $17,568 to $21,248), compared with those receiving 4 or more cycles (n= 582) at $10,430 (95% CI $10,069 to $10,790) with inpatient admissions as the major driver (mean $10,192, 95% CI $8,594 to $ 10,192 vs. $1,812, 95% CI $1,558 to $2,065). On multivariable analysis, only greater comorbid disease burden (\xce\xb2 = $2,074, 95% CI $665 to $3,483) and transfusion dependence (\xce\xb2 = $2,402, 95% CI $1,190 to $3,613) were associated with higher median standardized 28-day cost._x000D_
Conclusions: In our analysis of "real-world" patients with uniformly higher-risk MDS treated with AZA we demonstrate a significant economic impact above and beyond the cost of AZA alone. The costs are higher in patients who are transfusion dependent and have greater comorbidity and appear to be driven by inpatient care and outpatient non-physician ambulatory care. This group of patients are high users of healthcare resources with the majority having ED visits and inpatient admissions. These results will inform patients and providers about the "real-world" anticipated toxicities of AZA._x000D_
Disclosures Buckstein: Celgene: Honoraria, Membership on an entity\'s Board of Directors or advisory committees, Research Funding._x000D_
</t>
  </si>
  <si>
    <t>Nabhan C, Rundhaugen LM, Riley MB, Rademaker A, Boehlke L, Jatoi M, Tallman MS. Leukemia Research. 29(1):53-7, 2005 Jan.</t>
  </si>
  <si>
    <t>Nabhan C; Rundhaugen LM; Riley MB; Rademaker A; Boehlke L; Jatoi M; Tallman MS</t>
  </si>
  <si>
    <t>Leukemia Research. 29(1):53-7, 2005 Jan.</t>
  </si>
  <si>
    <t>The prognosis of acute myeloid leukemia (AML) in older adults is generally poor. Standard cytotoxic chemotherapy is usually poorly tolerated and provides dismal results in this patient population. Gemtuzumab ozogamicin (GO) is an immunoconjugate that has activity in the relapsed and refractory setting. We hypothesized that administering this agent, as an initial treatment in AML patients over the age of 65 would have, at least, similar efficacy to standard therapy, but at much less toxicity. We report on the first 12 patients that were treated solely with GO as induction, consolidation, and maintenance therapy as part of a single institution clinical trial. The treatment was well tolerated, with a response rate of 27%. Toxicities were acceptable, although five patients (41%) developed cardiac toxicity three of which had grade 3 and/or 4. Responses were present regardless of the karyotype, and lasted for a median of 7.6 months. These early results suggest that the option of single agent monoclonal antibody therapy is viable in this patient population and that additional studies are warranted with this agent either alone or in combination as initial therapy.</t>
  </si>
  <si>
    <t>Nand_Blood_2013</t>
  </si>
  <si>
    <t>Nand S, Othus M, Godwin JE, Willman CL, Norwood TH, Howard DS, Coutre SE, Erba HP, Appelbaum FR. Blood. 122(20):3432-9, 2013 Nov 14.</t>
  </si>
  <si>
    <t>Nand S; Othus M; Godwin JE; Willman CL; Norwood TH; Howard DS; Coutre SE; Erba HP; Appelbaum FR</t>
  </si>
  <si>
    <t>Blood. 122(20):3432-9, 2013 Nov 14.</t>
  </si>
  <si>
    <t>This trial tested the safety and efficacy of a regimen consisting of hydroxyurea followed by azacitidine, 75 mg/m(2) for 7 days, and gemtuzumab ozogamicin, 3 mg/m(2) on day 8, in older patients with newly diagnosed acute myeloid leukemia. Those achieving a complete remission received 1 consolidation treatment followed by 4 cycles of azacitidine. The patients were stratified into good-risk (age 60-69 years or performance status 0-1) and poor-risk (age &gt;=70 years and performance status 2 or 3) groups. Specific efficacy and safety goals were defined as being supportive of further study of the regimen. Eighty-three patients were registered in the good-risk cohort and 59 in poor-risk cohort, with median age of 71 and 75 years, respectively. In the good-risk group, 35 patients (44%) achieved a complete remission. Median relapse-free and overall survivals were 8 and 11 months, respectively. Six patients (8%) died within 30 days of registration. In the poor-risk group, 19 (35%) achieved a complete remission. Median relapse-free and overall survivals were 7 and 11 months, respectively. Seven patients (14%) died early. The results of this trial met predefined goals for efficacy and safety for the poor-risk cohort but not the good-risk group. .</t>
  </si>
  <si>
    <t>Oakes A, Seo J, Janssen E, O’Donoghue B, Bridges J. A Comparison Of Patient And Caregiver Worries For Acute Myeloid Leukemia. Value in Health. 2018;21:S36.</t>
  </si>
  <si>
    <t>Oakes A, Seo J, Janssen E, O’Donoghue B, Bridges J</t>
  </si>
  <si>
    <t>Value in Health. May 2018 Vol. 21_sup.1(S36)</t>
  </si>
  <si>
    <t>OBJECTIVES: Acute myeloid leukemia (AML) is a rapidly progressing blood cancer for which new treatments are needed. We sought to inform regulatory agencies of this unmet need by documenting and comparing the worries of patients and caregivers affected by AML.  METHODS: A national survey of individuals from the Leukemia and Lymphoma Society database incorporated a previously developed and validated Best-Worst Scaling (BWS) instrument to prioritize respondent worries. Using a balanced incomplete block design (BIBD), respondents assessed subsets of 13 AML-related worries that were identified through rigorous community engagement. In each task, respondents chose which item they worried about the most and the least. Priorities were assessed using standardized best-worst scores (ranging from 0 to 100), and compared across three groups: patients, caregivers of a patient who was alive, and caregivers of a patient who had passed.  RESULTS: We had 892 patients, 158 caregivers of living patients, and 122 caregivers of deceased patients complete the survey (response rate=18%). Patients were most worried about ‚ the possibility of dying from AML‚ (BW score=74.47, SE=0.60) and the ‚ long-term side effects of treatments‚Äù (BW score=70.61, SE=0.53). Patients were least worried about ‚communicating openly with doctors,  (BW score=24.34, SE=0.50). Patient and caregiver responses were highly correlated, Spearman‚Äôs rho=0.91. The prioritization of worries between caregiver groups had subtle differences; caregivers of deceased patients reported more worry about ‚ being a burden to others‚Äù and ‚Äúknowing about all the treatment option‚ and less worry about ‚ the possibility of dying from AML‚  and the ‚ overall financial cost of AML. CONCLUSIONS: The caregivers of patients with AML generally understand the worries of their patients and are able to reliably prioritize them. There are subtle differences in the worries reported by caregivers of living patients and caregivers of deceased patients that merit further investigation.</t>
  </si>
  <si>
    <t>Oliva_Blood_2015 (abstract)</t>
  </si>
  <si>
    <t>Oliva EN, Salutari P, Candoni A, Freyrie A, Capelli D, Di Raimondo F, Volpe A, Cascavilla N, Di Bartolomeo P, Simeone E, Cortelezzi A, Leoni P, Musto P, Morabito F, Niscola P, Ranieri N, Santacaterina I, Marino AG, Cufari P, Alati C, Ronco F. Quality of life in elderly patients with acute myeloid leukemia undergoing induction chemotherapy. Blood. 2015 Dec 03;126(23):2120.</t>
  </si>
  <si>
    <t>Oliva E.N.
Salutari P.
Candoni A.
Freyrie A.
Capelli D.
Di Raimondo F.
Volpe A.
Cascavilla N.
Di Bartolomeo P.
Simeone E.
Cortelezzi A.
Leoni P.
Musto P.
Morabito F.
Niscola P.
Ranieri N.
Santacaterina I.
Marino A.G.
Cufari P.
Alati C.
Ronco F.</t>
  </si>
  <si>
    <t>Blood. Conference: 57th Annual Meeting of the American Society of Hematology, ASH 2015. San Diego, CA United States. Conference Publication: (var.pagings). 126 (23) (pp 2120), 2015. Date of Publication: 03 Dec 2015.</t>
  </si>
  <si>
    <t>Aims: In elderly patients with acute myeloid leukemia (AML), complete remission (CR) rate following intensive chemotherapy is approximately 45%, considerably lower than in younger patients, with a shorter duration of remission and high treatment-related mortality (30-50%). Median survival is about 12 months. Intensive chemotherapy is indicated in a small proportion of "fit" elderly patients. In a phase III, prospective, randomized, open-label, multicenter trial designed to assess the efficacy of post-remission treatment with 5-Azacitidine versus best supportive care (BSC) in patients &gt; 60 years of age with AML in CR after conventional induction ("3+7") and consolidation chemotherapy, quality of life (QoL) was assessed from diagnosis. We present interim results of changes of QoL. Methods: Patients with newly diagnosed AML with &gt; 30% myeloid marrow blasts, either "de novo" or evolving from myelodysplastic syndrome without contraindications for intensive chemotherapy and with an ECOG performance status &lt; 3 are included. Induction chemotherapy consists of two courses of "3+7": Daunorubicin 40 mg/m&lt;sup&gt;2&lt;/sup&gt; daily days 1-3 and cytarabine 100 mg/m&lt;sup&gt;2&lt;/sup&gt; daily continuous IV infusion days 1-7. Patients in CR receive consolidation (cytarabine 800 mg/m&lt;sup&gt;2&lt;/sup&gt; 3 hour infusion bid days 1-3) and are randomized 1:1 to receive BSC or 5-Azacitidine maintenance therapy up to 4 years and six months until AML recurrence. QoL assessment was performed using the EORTC QLQ-C30 and the QOL-E v.3 questionaires. Results: QoL results assessed at 3 time points are reported: 1) baseline; 2) at hematological recovery immediately after the first "3+7" course; and 3) after consolidation at randomization. Ninety-nine patients (male/female 50/49) of median age 70 (IQR 65-74) years have been enrolled. At diagnosis, mean hemoglobin was 9.2 (SD +/- 2.4) g/dL, leukocytes were 7.9 (2.3-29.6)/muL, platelet count was 54 (IQR 29-85) Gi/L and bone marrow blasts were 70 (IQR 50-85)%. Seventy-five patients had "de novo" AML. Twenty-three patients had comorbidities. Forty-three patients had an ECOG PS 1 and 28 had ECOG PS 2. Baseline median QOL-E scores were poor (&lt;=60) in all dimensions, except for fatigue (76, IQR 52-85). EORTC QLQ-C30 confirmed that fatigue was not prevalent at diagnosis (median 33, IQR 22-56). Median baseline EORTC QLQ-C30 scores were good in all domains except for global health status (GHS, median 50, IQR 33-67). Gender, comorbidities, bone marrow blasts and secondary AML were not related to QoL. Baseline Hb levels correlated with QOL-E functional (r=0.0216, p=0.14), fatigue (r=0.256, p=0.002) and disease-specific (r=0.247, p=0.010) scores and with EORTC QLQ-C30 GHS (r=0.270, p=0.001), physical (r=0.304, p&lt;0.0001), role (r=0.281, p=0.001), cognitive (r=0.262, p=0.003), social (r=0.229, p=0.010) functions and fatigue (r=-0.280, p=0.001), dyspnea (r=-0.287, p=0.001) and appetite loss (r=0.244, p=0.007). Age correlated with QOL-E disease specific scores (r=0.242, p=0.012). There were no changes in QOL-E scores following 1st "3+7". However, the EORTC QLQ-C30 detected deterioration in physical function from median 80, IQR 60-93, to 67, IQR 52-87 (p=0.008), in role function from median 83, IQR 67-100, to 67, IQR 33-83 (p=0.023) and in GHS from median 50, IQR 33-69, to 67, IQR 50-75 (p=0.002) and improvement in dyspnea (p=0.023). Forty patients obtained a CR. Interestingly, baseline role function was better (median 83, IQR 67-100) in cases obtaining a CR than in resistant patients (median 67, IQR 33-83, p=0.007). Patients obtaining CR experienced improvements after consolidation in median QOL-E physical scores from 56, IQR 41-72 to 63, IQR 50-84 (p=0.033), disease-specific domain scores from 59, IQR 48-67 to 74, IQR 67-85 (p=0.003) and treatment-outcome index scores from 55, IQR 32-77, to 79, IQR 41-86 (p=0.026). Median EORTC QLQ-C30 emotional function improved after consolidation therapy from 83, IQR 67-92, to 92, IQR 77-100 (p=0.015) as well as GHS from median 50, IQR 33-65 to 67, IQR 58-83 (p=0.002). Dyspnea and insomnia regressed while financial problems increased. Conclusions: Elderly patients with AML at diagnosis identified as fit for chemotherapy generally do not present fatigue, though health status is poor and is mainly correlated with Hb levels. Role function may predict response to induction chemotherapy. Patients obtaining CR perceive improvements in global health, including physical and emotional QoL and symptoms.</t>
  </si>
  <si>
    <t>Oliva EN, Nobile F, Alimena G, Ronco F, Specchia G, Impera S, Breccia M, Vincelli I, Carmosino I, Guglielmo P, Pastore D, Alati C, Latagliata R. Quality of life in elderly patients with acute myeloid leukemia: Patients may be more accurate than physicians. Haematologica. 2011 May;96(5):696-702.</t>
  </si>
  <si>
    <t>Oliva E.N.
Nobile F.
Alimena G.
Ronco F.
Specchia G.
Impera S.
Breccia M.
Vincelli I.
Carmosino I.
Guglielmo P.
Pastore D.
Alati C.
Latagliata R.</t>
  </si>
  <si>
    <t>Haematologica. 96 (5) (pp 696-702), 2011. Date of Publication: May 2011.</t>
  </si>
  <si>
    <t>Background The aim of this study was to evaluate changes in quality of life scores and their association with therapy and survival in unselected elderly patients with acute myeloid leukemia. Design and Methods From February 2003 to February 2007, 113 patients aged more than 60 years with de novo acute myeloid leukemia were enrolled in a prospective observational study. Two different quality of life instruments were employed: the European Organization for Research and Treatment of Cancer Quality of Life Questionnaire - C30 (EORTC QLQ-C30) and a health-related quality of life questionnaire for patients with hematologic diseases (QOL-E). Results Forty-eight patients (42.4%) received intensive chemotherapy and 65 (57.6%) were given palliative treatments. Age greater than 70 years (P=0.007) and concomitant diseases (P=0.019) had a significant impact on treatment allocation. At diagnosis, general quality of life was affected [median QOL-E standardized score 54, interquartile range 46-70; median EORTC global score 50, interquartile range 41-66]. Most patients were given a good ECOG Performance Status (&lt; 2), which did not correlate with the patients' perception of quality of life. At multivariate analysis, palliative approaches (P=0.016), age more than 70 years (P=0.013) and concomitant diseases (P=0.035) each had an independent negative impact on survival. In a multivariate model corrected for age, concomitant diseases and treatment option, survival was independently predicted by QOL-E functional (P=0.002) and EORTC QLQ-C30 physical function (P=0.030) scores. Conclusions Quality of life could have an important role in elderly acute myeloid leukemia patients at diagnosis as a prognostic factor for survival and a potential factor for treatment decisions. ©2011 Ferrata Storti Foundation.</t>
  </si>
  <si>
    <t>Paladini L, Pepe C, Clark OAC, Tencer T, Khan Z.</t>
  </si>
  <si>
    <t>Paladini L.
Pepe C.
Clark O.A.C.
Tencer T.
Khan Z.</t>
  </si>
  <si>
    <t>Value in Health. Conference: 17th Annual International Meeting of the International Society for Pharmacoeconomics and Outcomes Research, ISPOR 2012. Washington, DC United States. Conference Publication: (var.pagings). 15 (4) (pp A212-A213), 2012. Date of Publication: June 2012.</t>
  </si>
  <si>
    <t>OBJECTIVES: MDS is an incurable and rare hematological disease that affects the production of blood cells. Two hypomethylating agents for the treatment of MDS are available in Brazil: azacitidine (AZA) and decitabine (DEC). Our aim was to compare the costs and outcomes of azacitidine (75 mg/m2 per day x 7 days every 4 weeks) vs. decitabine (45 mg/m2 per day x 3 days every 6 weeks) from the perspective of SUS. METHODS: We developed a Markov model to determine the costeffectiveness (CE) and 3-year budget impact of introducing AZA in the Brazilian market. Patients considered were classified with IPSS Int 1, Int 2 and High risk. The model considered progression to acute myelogenous leukemia (AML) and death as the major outcomes of treatment. Outcomes, costs and epidemiological data were obtained from a systematic review of literature and public sources. The costs of adverse events and progressive disease were also included. A sensitivity analysis was performed to test the robustness of the results. The currency conversion used was BR$ 1.8: US$1.0. RESULTS: The cost effectiveness analysis showed better results for AZA compared to DEC resulting in lower costs and improved outcomes in terms of mortality rates and progression to AML. Over a 3-year time period, the use of AZA was associated with a savings of BR$85,000 (US$45,000) compared to DEC. Assuming that AZA would be given to 50% of patients with MDS in Brazil, it would have a budgetary impact of BR$45,000 000 (US$25,000,000) for the public health care system SUS. CONCLUSIONS: When compared to DEC, AZA showed improved outcomes and lower costs as a treatment option for MDS in the Brazilian public health system.</t>
  </si>
  <si>
    <t>Pan F, Peng S, Fleurence R, Linnehan JE, Knopf K, Kim E. Economic analysis of decitabine versus best supportive care in the treatment of intermediate- and high-risk myelodysplastic syndromes from a US payer perspective. Clinical Therapeutics. 2010 Dec;32(14):2444-56.</t>
  </si>
  <si>
    <t>Pan F
Peng S
Fleurence R
Linnehan JE
Knopf K
Kim E</t>
  </si>
  <si>
    <t>Clinical Therapeutics. 32(14):2444-56, 2010 Dec</t>
  </si>
  <si>
    <t>BACKGROUND: Myelodysplastic syndromes (MDS) are blood and bone marrow disorders that occur primarily in the elderly population, with 30% of all cases progressing to acute myeloid leukemia (AML). Red blood cell transfusions--a conventional treatment of MDS--have been associated with high costs and decreased quality of life compared with transfusion independence. Phase III clinical trial data suggest that decitabine may offer an improved AML-free survival versus best supportive care (BSC), which consists of red blood cell transfusions, deferoxamine, erythropoiesis-stimulating agents, platelet transfusions, and colony-stimulating factors. The US Food and Drug Administration has approved a 5-day outpatient decitabine dosing regimen, which might reduce administration costs compared with the standard 3-day inpatient regimen.
OBJECTIVE: The aim of this study was to assess the cost-effectiveness of 5-day dosing of decitabine versus BSC in US patients with intermediate- and high-risk MDS from a US payer perspective.
METHODS: A Markov model with 3 health states (MDS, AML, and death) was constructed to simulate natural disease progression. The model followed patients in 4-week cycles for &lt;= 5 years. Clinical inputs and patient characteristics were based on decitabine Phase III clinical trial data. Costs of supportive care and adverse events were based on trial resource utilization data. Drug and AML costs were obtained from published sources. Deterministic and probabilistic sensitivity analyses were performed to determine the impact of model parameters on results.
RESULTS: In the base-case model, decitabine yielded 0.276 additional year of AML-free survival and 0.052 more quality-adjusted life-year (QALY) compared with BSC. Total decitabine and administration costs over the 5-year time horizon were $28,933. Total direct medical costs were $122,940 in the decitabine arm and $122,666 in the BSC arm. The incremental cost-effectiveness ratio for decitabine versus BSC was $5277 per QALY gained. Sensitivity analyses indicated that decitabine had a higher probability than BSC of being cost-effective despite the uncertainty around some model parameters, including survival.
CONCLUSION: In this study, decitabine administered on a 5-day dosing schedule was likely a cost-effective treatment option in patients with intermediate- and high-risk MDS from a US payer perspective.
Copyright © 2010 Elsevier HS Journals, Inc. All rights reserved.</t>
  </si>
  <si>
    <t>Pandya_JCO_2017 (abstract)</t>
  </si>
  <si>
    <t>Bhavik JP, Anna H, Bruno CM, Samuel W, Cat NB, Tom B, Scott F, Alex R, Laura EH. Quality of life of acute myeloid leukemia patients in a real-world setting. Journal of Clinical Oncology. 2017;35(15):e18525.</t>
  </si>
  <si>
    <t>Bhavik J. Pandya, Anna Hadfield, Bruno C. Medeiros, Samuel Wilson, Cat N. Bui, Tom Bailey, Scott Flanders, Alex Rider, Laura E. Horvath</t>
  </si>
  <si>
    <t>http://ascopubs.org/doi/abs/10.1200/JCO.2017.35.15_suppl.e18525</t>
  </si>
  <si>
    <t>Background: There is currently limited data on the quality-of-life (QoL) of patients with acute myeloid leukemia (AML) in the real-world setting. The objective of this analysis was to understand the impact of AML on patients receiving first-line treatment vs those who were relapsed/refractory to first-line treatment and therefore on later lines of therapy.
Methods: The Adelphi AML Disease-Specific Programme, a real-world, cross-sectional survey involving 61 US hematologists/hemato-oncologists and their consulting AML patients, was conducted between February–May 2015. Physicians provided details on patient demographics and clinical information. Each patient was asked to complete both the EQ-5D-3L and Functional Assessment of Cancer Therapy Leukemia (FACT-Leu). Scores range from −1.09–1 (EQ-5D-3L) and 0–176 (FACT-Leu), where a higher score indicates a better QoL. Data from physician-completed record forms and corresponding patient self-completion forms on a matched sample of 75 patients were analyzed.
Results: Of the patients who took part in the survey, 75% (n = 56) were receiving first-line treatment for AML and 25% (n = 19) were relapsed/refractory to first-line treatment and had progressed to later lines of therapy. The first-line patients had a mean age of 56.6 years and an average of 2.1 symptoms whereas the relapsed/refractory patients had a mean age of 56.9 years and an average of 2.4 symptoms, according to the physician. First-line patients may have a directionally better QoL scores than those on later lines of therapy, according to both the EQ-5D (0.75 and 0.71 respectively, P= .51) and the FACT-Leu (103.7 and 92.5 respectively, P= .098) measures. Results from the FACT-Leu-Physical Well-Being sub-domain show that relapsed/refractory patients were significantly more likely than first-line patients to be affected physically by their AML condition (13.0 and 17.6 respectively, P= .005).
Conclusions: AML patients who have relapsed or become refractory to first-line treatment report worse QoL than those still on first-line treatments. These observational data shows a need for effective and tolerable treatments that can maintain or improve patients’ QoL, especially for patients with relapsed or refractory disease.</t>
  </si>
  <si>
    <t>Papayannidis C, Smith B.D, Heuser M, Montesinos P, Sekeres M.A, Oriol A, Schiller G, Candoni A, Jamieson C, Hoang C.J, Ma W.W, Zeremski M, O'Connell A, Chan G, Cortes J.E. Clinical Lymphoma, Myeloma and Leukemia. Conference: Proceedings of the Society of Hematologic Oncology 2019 Annual Meeting. Hilton Americas, United States. 19 (Supplement 1) (pp S228-S229), 2019. Date of Publication: September 2019.</t>
  </si>
  <si>
    <t>Papayannidis C.; Smith B.D.; Heuser M.; Montesinos P.; Sekeres M.A.; Oriol A.; Schiller G.; Candoni A.; Jamieson C.; Hoang C.J.; Ma W.W.; Zeremski M.; O'Connell A.; Chan G.; Cortes J.E.</t>
  </si>
  <si>
    <t>Clinical Lymphoma, Myeloma and Leukemia. Conference: Proceedings of the Society of Hematologic Oncology 2019 Annual Meeting. Hilton Americas, United States. 19 (Supplement 1) (pp S228-S229), 2019. Date of Publication: September 2019.</t>
  </si>
  <si>
    <t>Context: Glasdegib is an oral inhibitor of the Hedgehog signaling pathway. Following the BRIGHT AML 1003 trial (NCT01546038) primary results, glasdegib in combination with low-dose cytarabine (LDAC) was approved in the US for the treatment of newly diagnosed acute myeloid leukemia (AML) in patients unable to receive intensive chemotherapy due to comorbidities or age (&gt;=75 years). Objective(s): To evaluate long-term outcomes in patients with AML receiving glasdegib+LDAC in BRIGHT AML 1003. Design(s): Multicenter, randomized, phase 2, open-label study (methods previously published: Cortes et al., 2019). As of October 11, 2018, median follow-up for patients with AML was 43.4 months for glasdegib+LDAC vs 42.0 with LDAC alone. Setting(s): Multicenter study at centers in Europe and North America. Patient(s): Patients with newly diagnosed AML and ineligible for intensive chemotherapy were randomized 2:1 to glasdegib+LDAC (n=78) or LDAC alone (n=38). Intervention(s): Glasdegib 100 mg QD; LDAC 20 mg subcutaneously BID x 10 days q28 days. Main Outcomes Measures: The primary objective of BRIGHT AML 1003 was to compare overall survival (OS) for glasdegib+LDAC vs LDAC alone. We report OS and adverse events (AEs) after long-term follow-up. Result(s): OS was significantly longer with glasdegib+LDAC vs LDAC alone: hazard ratio (HR) 0.495 (95% CI, 0.325-0.752), P=0.0004; median OS was 8.3 vs 4.3 months. Improvement in OS was consistent across cytogenetic risk groups: good/intermediate, HR 0.510 (95% CI, 0.294-0.866; P=0.0074; median OS, 12.2 vs 5.3 months); poor, HR 0.514 (95% CI, 0.264-1.000; P=0.0229; median OS, 4.4 vs 2.1 months). The main cause of death in both arms was disease progression (both during study and follow-up). The incidence of AEs and serious AEs on glasdegib was generally lower long-term (after 90 days) than short-term (during the first 90 days) (83.7% and 51.2% vs 98.7% and 65.3%, respectively). Conclusion(s): Addition of glasdegib to LDAC vs LDAC alone continued to demonstrate improved overall survival with an acceptable safety profile in patients with AML. These results suggest glasdegib may be an important treatment option for newly diagnosed patients with AML ineligible for intensive chemotherapy. Study sponsor: Pfizer. Keywords: acute myeloid leukemia, glasdegib, low-dose cytarabine, overall survival, randomized clinical trial, AML © 2019 American Society of Clinical Oncology, Inc. Reused with permission. This abstract was accepted and previously presented at the 2019 ASCO Annual Meeting. All rights reserved</t>
  </si>
  <si>
    <t>Pierson R, He J, Xiu L, Nemat S, Loefgren C, Thomas X. Patient-Reported Disease Burden in the Elderly Patients with Acute Myeloid Leukemia. Blood. 2017;130(Suppl 1):2182.</t>
  </si>
  <si>
    <t>Pierson R, He J, Xiu L, Nemat S, Loefgren C, Thomas X</t>
  </si>
  <si>
    <t>Background Acute Myeloid Leukemia (AML) is the most aggressive type of leukemia and is associated with poor overall survival (OS), particularly in older patients. In this study, we evaluated physical, psychological and social functions in a cohort of AML patients who were not considered as eligible for standard chemotherapy. Methods DACO-016 is a randomized phase 3 trial of decitabine versus physician's choice of either supportive care or low-dose cytarabine for the treatment of older patients with newly diagnosed AML who were considered as unfit for intensive chemotherapy. This post hoc analysis evaluated disease burden reported by patients from The European Organization for Research and Treatment of Cancer quality of life questionnaire (EORTCQLQ-C30) in 485 elderly patients at baseline. EORTC-QLQ-C30 was reported as five functional scales (physical, role, emotional, social and cognitive), three symptom scales (fatigue, nausea &amp; vomiting and pain), a global health status/Health-Related Quality of Life (HRQoL) scale and six single items (dyspnea, insomnia, appetite loss, constipation, diarrhea and financial difficulties). We compared summary statistics from the EORTC-QLQ-C30 to the EORTC reference values of all cancer patients with age &gt;=70 yrs. Furthermore, we analyzed the EORTC-QLQ-C30 subscales and sign and symptom scales by ECOG performance status score. Results Patients (n=454) at baseline were 59.7% male, 86.3% white (Caucasian) with a mean age of 73.2 years; a median of 73 years and interquartile range (69-77). The distribution of ECOG performance status scores of 0, 1 and 2 was 18.1%, 55.7% and 26.2%, respectively. 6.4% of patients were missing baseline EORTC-QLQ-C30 measures. The mean physical functioning, role functioning, cognitive functioning, emotional functioning, social functioning, global health status at baseline scores were 67.6, 62.1, 77.9, 71.6, 68.6 and 50.1, respectively. The mean physical functioning, role functioning, cognitive functioning, emotional functioning, social functioning, global health status at baseline scores for age &gt;=70 years were 66.9, 61.4, 76.9, 72.2, 68.8 and 50.3, respectively. The results were generally lower than the reference values (Table 1). With increasing ECOG performance status scores, the EORTC-QLQ-C30 health subscales and sign and symptom scales deteriorated. For example, the mean physical functioning scores for ECOG PS 0, 1 and 2 were 80.9, 69.4 and 64.4, respectively. Conclusion: To our knowledge, this is the largest study to report that the HRQoL of AML patients unfit for intensive chemotherapy is worse than that of the population norm of cancer patients in a similar age-group. This highlights the need for new therapies with less detrimental effect to AML patients. (Table Presented).</t>
  </si>
  <si>
    <t>Pleyer L, Burgstaller S, et al. Annals of Hematology. 93(11):1825-38, 2014 Nov.</t>
  </si>
  <si>
    <t>Pleyer L_x000D_
_x000D_
Burgstaller S_x000D_
_x000D_
Girschikofsky M_x000D_
_x000D_
Linkesch W_x000D_
_x000D_
Stauder R_x000D_
_x000D_
Pfeilstocker M_x000D_
_x000D_
Schreder M_x000D_
_x000D_
Tinchon C_x000D_
_x000D_
Sliwa T_x000D_
_x000D_
Lang A_x000D_
_x000D_
Sperr WR_x000D_
_x000D_
Krippl P_x000D_
_x000D_
Geissler D_x000D_
_x000D_
Voskova D_x000D_
_x000D_
Schlick K_x000D_
_x000D_
Thaler J_x000D_
_x000D_
Machherndl-Spandl S_x000D_
_x000D_
Theiler G_x000D_
_x000D_
Eckmullner O_x000D_
_x000D_
Greil R</t>
  </si>
  <si>
    <t>Annals of Hematology. 93(11):1825-38, 2014 Nov.</t>
  </si>
  <si>
    <t>Azacitidine in 302 patients with WHO-defined acute myeloid leukemia: results from the Austrian Azacitidine Registry of the AGMT-Study Group.</t>
  </si>
  <si>
    <t>Data on efficacy and safety of azacitidine in acute myeloid leukemia (AML) with &gt;30 % bone marrow (BM) blasts are limited, and the drug can only be used off-label in these patients. We previously reported on the efficacy and safety of azacitidine in 155 AML patients treated within the Austrian Azacitidine Registry (clinicaltrials.gov identifier NCT01595295). We herein update this report with a population almost twice as large (n = 302). This cohort included 172 patients with &gt;30 % BM blasts; 93 % would have been excluded from the pivotal AZA-001 trial (which led to European Medicines Agency (EMA) approval of azacitidine for high-risk myelodysplastic syndromes (MDS) and AML with 20-30 % BM blasts). Despite this much more unfavorable profile, results are encouraging: overall response rate was 48 % in the total cohort and 72 % in patients evaluable according to MDS-IWG-2006 response criteria, respectively. Median OS was 9.6 (95 % CI 8.53-10.7) months. A clinically relevant OS benefit was observed with any form of disease stabilization (marrow stable disease (8.1 months), hematologic improvement (HI) (9.7 months), or the combination thereof (18.9 months)), as compared to patients without response and/or without disease stabilization (3.2 months). Age, white blood cell count, and BM blast count at start of therapy did not influence OS. The baseline factors LDH &gt;225 U/l, ECOG &gt;=2, comorbidities &gt;=3, monosomal karyotype, and prior disease-modifying drugs, as well as the response-related factors hematologic improvement and further deepening of response after first response, were significant independent predictors of OS in multivariate analysis. Azacitidine seems effective in WHO-AML, including patients with &gt;30 % BM blasts (currently off-label use). Although currently not regarded as standard form of response assessment in AML, disease stabilization and/or HI should be considered sufficient response to continue treatment with azacitidine.</t>
  </si>
  <si>
    <t>Pleyer L, Burgstaller S, et al. Journal of Hematology and Oncology. 9 (1) (no pagination), 2016. Article Number: 263. Date of Publication: 16 Apr 2016.</t>
  </si>
  <si>
    <t>Pleyer L._x000D_
_x000D_
Burgstaller S._x000D_
_x000D_
Stauder R._x000D_
_x000D_
Girschikofsky M._x000D_
_x000D_
Sill H._x000D_
_x000D_
Schlick K._x000D_
_x000D_
Thaler J._x000D_
_x000D_
Halter B._x000D_
_x000D_
Machherndl-Spandl S._x000D_
_x000D_
Zebisch A._x000D_
_x000D_
Pichler A._x000D_
_x000D_
Pfeilstocker M._x000D_
_x000D_
Autzinger E.-M._x000D_
_x000D_
Lang A._x000D_
_x000D_
Geissler K._x000D_
_x000D_
Voskova D._x000D_
_x000D_
Geissler D._x000D_
_x000D_
Sperr W.R._x000D_
_x000D_
Hojas S._x000D_
_x000D_
Rogulj I.M._x000D_
_x000D_
Andel J._x000D_
_x000D_
Greil R.</t>
  </si>
  <si>
    <t>Journal of Hematology and Oncology. 9 (1) (no pagination), 2016. Article Number: 263. Date of Publication: 16 Apr 2016.</t>
  </si>
  <si>
    <t>Background: The MDS-IWG and NCCN currently endorse both FAB and WHO classifications of MDS and AML, thus allowing patients with 20-30 % bone marrow blasts (AML20-30, formerly MDS-RAEB-t) to be categorised and treated as either MDS or AML. In addition, an artificial distinction between AML20-30 and AML30+ was made by regulatory agencies by initially restricting approval of azacitidine to AML20-30. Thus, uncertainty prevails regarding the diagnosis, prognosis and optimal treatment timing and strategy for patients with AML20-30. Here, we aim to provide clarification for patients treated with azacitidine front-line. Methods: The Austrian Azacitidine Registry is a multicentre database (ClinicalTrials.gov: NCT01595295). For this analysis, we selected 339 patients treated with azacitidine front-line. According to the WHO classification 53, 96 and 190 patients had MDS-RAEB-I, MDS-RAEB-II and AML (AML20-30: n = 79; AML30+: n = 111), respectively. According to the FAB classification, 131, 101 and 111 patients had MDS-RAEB, MDS-RAEB-t and AML, respectively. Results: The median ages of patients with MDS and AML were 72 (range 37-87) and 77 (range 23-93) years, respectively. Overall, 80 % of classifiable patients (&lt;=30 % bone marrow blasts) had intermediate-2 or high-risk IPSS scores. Most other baseline, treatment and response characteristics were similar between patients diagnosed with MDS or AML. WHO-classified patients with AML20-30 had significantly worse OS than patients with MDS-RAEB-II (13.1 vs 18.9 months; p = 0.010), but similar OS to patients with AML30+ (10.9 vs 13.1 months; p = 0.238). AML patients that showed MDS-related features did not have worse outcomes compared with patients who did not (13.2 vs 8.9 months; p = 0.104). FAB-classified patients with MDS-RAEB-t had similar survival to patients with AML30+ (12.8 vs 10.9 months; p = 0.376), but significantly worse OS than patients with MDS-RAEB (10.9 vs 24.4 months; p &lt; 0.001). Conclusions: Our data demonstrate the validity of the WHO classification of MDS and AML, and its superiority over the former FAB classification, for patients treated with azacitidine front-line. Neither bone marrow blast count nor presence of MDS-related features had an adverse prognostic impact on survival. Patients with AML20-30 should therefore be regarded as having 'true AML' and in our opinion treatment should be initiated without delay._x000D_
Copyright © 2016 Pleyer et al.</t>
  </si>
  <si>
    <t>Prange-Krex G, Reichert D, et al. Oncology Research and Treatment. Conference: Jahrestagung der Deutschen, Osterreichischen und Schweizerischen Gesellschaften fur Hamatologie und Medizinische Onkologie 2017. Germany. 40 (Supplement 3) (pp 46), 2017. Date of Publication: September 2017.</t>
  </si>
  <si>
    <t>Oncology Research and Treatment. Conference: Jahrestagung der Deutschen, Osterreichischen und Schweizerischen Gesellschaften fur Hamatologie und Medizinische Onkologie 2017. Germany. 40 (Supplement 3) (pp 46), 2017. Date of Publication: September 2017.</t>
  </si>
  <si>
    <t>Introduction: Approval of azacitidine (AZA) in AML is based on two prospective randomized studies, one of which included patients with 20-30% blasts, the other with &gt;30% blasts. Both showed prolonged overall survial (OS). In this unplanned interim analysis we present data for AML pts treated within a prospective non-interventional multicenter trial (phase 4) in Germany. The aim of the study was to collect data on the clinical usage of AZA in the real world setting. Methods: At the time of data cutoff (15/03/2017) enrollment was closed. In total 668 pts were recruited at 72 German sites from 6/2010 to 7/2015 and observed for a maximum of 12 months with an optional additional year of follow-up. A comprehensive set of data on demography, disease characteristics, AZA treatment regimen (incl. dosage and duration), reasons for discontinuation and other factors was collected and analyzed. Survival data were estimated according to Kaplan-Meier method. Results: At the time of this analysis, 113 newly diagnosed AML pts were evaluable. The majority of pts was elderly (median age of 76 years [range 53-94]) with a median bone morrow blast count of 25.0% (range 10-90) and treated with the approved schedule for 7 days (81.4%). Overall response rate (CR, CR-BM, PR or HI) was 34.5% (n = 39). Additional 23.9% (n = 27) achieved stable disease (SD) while in 41.6% (n = 47) no response assessment data were available. 12 pts (10.6%) achieved a complete or partial cytogenetic response. One-year survival rate for all pts was 47.8% (95%CI; 38.1-57.4). Median OS was 12.2 months (mo). Responding pts and those with SD had a higher 1-year survival rate and a longer median OS than non-responders (71.8%/55.6% vs 23.4%; 24.7 mo/13.9 mo vs. 4.7 mo). Main reasons for discontinuation of treatment were death (31.8%, n = 28), progressive disease (18.2%, n = 16), and multiple reasons (11.5%, n = 13). Nearly half of the pts experienced serious adverse events (45.1%, n = 51). The most frequently reported serious adverse events were &lt;&lt;infections and infestations&gt;&gt; (19.5%, n = 22), &lt;&lt;general disorders and administration site conditions&gt;&gt; (16.8%, n = 19) and &lt;&lt;blood and lymphatic system disorders&gt;&gt; (12.4%, n = 14). Conclusion: This report on 113 AML pts treated with AZA in a routine care setting in Germany supports existing evidence that AZA treatment is effective and safe in patients with AML and is comparable to registries from other countries such as the Austrian Registry on Hypomethylating Agents in Myeloid Neoplasms.</t>
  </si>
  <si>
    <t>Prica_LR_2013 (abstract)</t>
  </si>
  <si>
    <t>Prica A, Tseng E, Wells R, Alibhai S, Lam A, Mamedov A, Chodirker L, Zhang L, Khalaf D, Lenis M, Buckstein R. The effects of azacitidine on quality of life: A prospective longitudinal assessment. Leukemia Research. 2013 May;37:S138-S139.</t>
  </si>
  <si>
    <t>Prica A, Tseng E, Wells R, Alibhai S, Lam A, Mamedov A, Chodirker L, Zhang L, Khalaf D, Lenis M, Buckstein R</t>
  </si>
  <si>
    <t>Leukemia Research. Conference: 12th International Symposium on Myelodysplastic Syndromes, MDS 2013. Berlin Germany. Conference Publication: (var.pagings). 37 (pp S138-S139), 2013. Date of Publication: May 2013.</t>
  </si>
  <si>
    <t>Background: We have been conducting prospective assessments of QOL in all patients registered at our MDS clinic for 4 years and present data on the Azactidine (AZA)-treated patients. Materials and Methods: We examined and compared QOL scores at AZA start (baseline) and over time in all patients with MDS using the EORTC QLQ-C30, EQ5D, FACT-F (fatigue) and Global Fatigue Scale (GFS). We considered a variety of co-variates' potential impact on QOL scores and compared QOL scales in responders and nonresponders (by IWG 2006 criteria) at baseline, month 3, 6, 9, and 12. Median-based nonparametric tests and a linear mixed model were performed. Results: 60 MDS patients have been treated with AZA between Oct 2008 and Dec 2012. 52 had serial QOLs available. Median age was 72 yrs, 68% were male and 77% had high/v. high risk IPSS-R MDS. 67% were transfusion-dependent (TD). With amedian time from AZA (Figure Presented) start to death or last follow up of 16 months (range 1-48), a median of 10 cycles of AZAwere administered. The overall response rate (ORR) was 62%: 22% CR; 7% MCR; 3% PR; 30% HI. 53% became transfusion independent (TI). 58% have died and 67% developed leukemia or progressed to &gt; 30% blasts at a median of 15 months. Overall survival was 18.1mo (95% CI 15.6 - 28.2). Of the 52 evaluable for QOL, 35 (67%) were responders and 17 (22%) were not. At baseline, there were no statistically significant differences in QOL scores between responders and non-responders but QLQ-C30 role functioning was higher in responders. At 3 months, responders (compared with nonresponders), had significantly higher social functioning (p=0.03) and global health status (p&lt;0.01) on the QLQ-C30, as well has higher EQ5D scores (p=0.03). At 9 months, responders had higher EQ5D health state scores. At 12 months, responders reported better global health status (p=0.017) and EQ5D health state scores (p=0.02) (Fig. 1). Assessing QOL changes over time and considering baseline and timedependent predictive factors, response was associated with significant improvement in QLQ-C30 fatigue (p=0.04) and pain (p=0.005) over time. Conclusions: In addition to providing an OS advantage, AZA in higher risk MDS patients leads to improvement in select QOL domains, including global health status, appetite, fatigue and pain.</t>
  </si>
  <si>
    <t>Radujkovic A, Dietrich S, et al. Blood. Conference: 55th Annual Meeting of the American Society of Hematology, ASH 2013. New Orleans, LA United States. Conference Publication: (var.pagings). 122 (21) (no pagination), 2013. Date of Publication: 21 Oct 2013.</t>
  </si>
  <si>
    <t>Radujkovic A._x000D_
_x000D_
Dietrich S._x000D_
_x000D_
Kramer A._x000D_
_x000D_
Bochtler T._x000D_
_x000D_
Ho A.D._x000D_
_x000D_
Dreger P._x000D_
_x000D_
Luft T.</t>
  </si>
  <si>
    <t>Blood. Conference: 55th Annual Meeting of the American Society of Hematology, ASH 2013. New Orleans, LA United States. Conference Publication: (var.pagings). 122 (21) (no pagination), 2013. Date of Publication: 21 Oct 2013.</t>
  </si>
  <si>
    <t>Introduction Azacitidine (AZA) treatment has been shown to be superior to conventional care regimens including low dose cytarabine (LD-Ara-C) in acute myeloid leukemia (AML) patients with low bone marrow (BM) blast counts (20-30%). In contrast, data on efficacy of AZA in patients with blast counts exceeding 30% are scarce. Here we present a retrospective, single center analysis, comparing the efficacy and toxicity of AZA versus LD-Ara-C in AML patients with high BM blast counts (&gt;=30%) prior to treatment. Patients and Methods Twenty-seven patients receiving AZA and 38 patients receiving LD-Ara-C met the eligibility criteria for the analysis (age &gt;=18 years, documented BM blast count &gt;=30% prior to start of treatment and administration of at least one complete therapy cycle). Patients who underwent allogeneic transplantation following AZA treatment or received stem cell support following LD-Ara-C therapy were excluded from this analysis. Overall survival (OS) was estimated using the method of Kaplan and Meier. Comparison of OS between the AZA and LD-Ara-C group was done using the logrank test and by Cox regression adjusting for known confounders. Results Patient (age, ECOG status) and diseases characteristics (type of AML, cytogenetics, pretreatment, number of treatment cycles) did not differ significantly between the treatment groups, except for BM blast count (median 44% vs. 60% in the AZA and LD-Ara-C group, respectively; p=0.03) and peripheral blood blast count (median 6% vs. 56% in the AZA and LD-Ara-C group, respectively; p&lt;0.01). Response rates to AZA treatment according to international working group (IWG) criteria were low with two patients achieving a complete remission (CR) and one patient showing partial remission (PR) after AZA treatment. In the LD-Ara-C cohort no CR was observed and two patients experienced a PR. Hematologic improvement (HI) rates according to IWG criteria did not differ between both treatment groups (any type of HI 33% vs. 24% in the AZA and LD-Ara-C group, respectively; p=0.41). In both cohorts, most common non-hematologic toxicities (CTCAE grade&gt;=3) included febrile neutropenia, pneumonia and bleedings without significant differences regarding frequencies. As expected, skin involvement was more commonly observed in the AZA group (19% vs. 3%, p=0.04). One year survival rates were only 15% (95% CI 8-22%) and 13% (95% CI 7-19%) in the AZA and LD-Ara-C group, respectively. There was no statistically significant difference between the treatment groups (HR 1.2, p=0.41). Furthermore, there was no difference in hospitalization time (total days spent in hospital during treatment per patient-year of follow-up 29.4 vs. 27.2 in the AZA and LD-Ara-C group, respectively; RR 1.07 95% CI 0.95-1.21, p=0.23). In a multivariate analysis with OS as endpoint adverse cytogenetics (HR 2.24 95% CI 1.17-4.70, p&lt;0.02) were significantly associated with inferior survival, whereas the treatment had no impact (AZA vs. LD-Ara-C HR 1.27 95% CI 0.67-2.40, p=0.46). Conclusion In our center, treatment with AZA showed limited efficacy and no superiority to LD-Ara-C treatment in AML patients with BM blasts &gt;=30%.</t>
  </si>
  <si>
    <t>Ramos F, Martinez-Robles V, et al. Blood. Conference: 54th Annual Meeting of the American Society of Hematology, ASH 2012. Atlanta, GA United States. Conference Publication: (var.pagings). 120 (21) (no pagination), 2012. Date of Publication: 16 Nov 2012.</t>
  </si>
  <si>
    <t>Ramos F._x000D_
_x000D_
Martinez-Robles V._x000D_
_x000D_
Bargay J._x000D_
_x000D_
Deben G._x000D_
_x000D_
Garrido A._x000D_
_x000D_
Serrano J._x000D_
_x000D_
Salamero O._x000D_
_x000D_
Bergua J._x000D_
_x000D_
Colado E._x000D_
_x000D_
Garcia R._x000D_
_x000D_
Pedro C._x000D_
_x000D_
Redondo S._x000D_
_x000D_
Tormo M._x000D_
_x000D_
Bonanad S._x000D_
_x000D_
Diez-Campelo M._x000D_
_x000D_
Perez-Encinas M._x000D_
_x000D_
De La Fuente A._x000D_
_x000D_
Xicoy B._x000D_
_x000D_
Falantes J._x000D_
_x000D_
Font P._x000D_
_x000D_
Gonzalez-Lopez T.-J._x000D_
_x000D_
Martin-Nunez G._x000D_
_x000D_
Montesinos P._x000D_
_x000D_
Sanchez-Guijo F.M.</t>
  </si>
  <si>
    <t>Blood. Conference: 54th Annual Meeting of the American Society of Hematology, ASH 2012. Atlanta, GA United States. Conference Publication: (var.pagings). 120 (21) (no pagination), 2012. Date of Publication: 16 Nov 2012.</t>
  </si>
  <si>
    <t>Azacitidine (AZA) is currently being used in AML patients (Pts) not deemed candidates for intensive chemotherapy. Most of this usage follows approved drug label by EMA, but off-label usage is not uncommon in Pts with &gt;30% bone marrow blast (BMB) cells. Clinical trials are now comparing AZA vs. conventional care in selected populations, and data from daily practice may shed light on the generalizability of their results. A retrospective nationwide study was set up in Spain in order to evaluate the population of AML Pts that is receiving AZA as front-line therapy (Rx) in Spain, its patterns of usage, effectiveness and safety in daily practice conditions, as well as the factors linked to overall response rate (ORR) and overall survival (OS). Only Pts treated before Dec/2010 could be included in this study, that was approved by the Spanish Medicines Agency (AEMPS, code ACL-AZA-2011-01). Data were collected from Oct/2011 to Jan/2012 and analyzed as of Jun/2012. ORR was evaluated according to both ELN-2010 criteria for AML as well as IWG-2006 criteria for MDS (in order to assess the impact of PB changes), OS measured from 1st cycle of AZA to death or last follow-up, and toxicity coded according to NCI CTCAEv3.0. One-hundred and ten untreated Pts (79 M/31 F, median age 75, range 56-89) were recruited from 22 academic and community sites. Comorbidity was present in 96 Pts (cardiac 43, hepatic 10, renal 3, diabetes 26, other neoplasms 18, etc.), ECOG being &gt;=2 in 33. Thirty Pts had an antecedent hematological disorder. Five cases had recurrent genetic abnormalities (NPM1-mutated AML in 4), 61 had MDS-related AML, 16 therapy-related AML and 28 AML not otherwise specified. Cytogenetics (Cyto) was available in 95 (86.4%): 48 diploid and 47 abnormal. MRC-2010 cyto category was favourable in 1, intermediate in 64 and adverse in 30. Median WBC at Dx was 3.3 x10E9/L (0.8-172.4), WBC before 1st AZA cycle 2.8 (1.0-175.0), platelet count 56 (7-467), PB blast 4.0% (0-100) and hemoglobin 91 g/L (48-142). Sixty-four Pts (58.2%) had BMB&gt;30% (median 35.0%, range 15.0-98.0%). Median time from Dx to Rx was 19.5 days (0-411). Pts received 745 AZA cycles (median 4, range 1-29; &gt;=6 cycles 45.4%, &gt;=12 cycles 18.8%), but 30.9% received &lt;=2 because of disease progression or toxicity. 7.2% received concomitantly hydroxiurea for WBC control. Route of administration was EV in 5.8%, home administration took place in only 1.5%, and AZA was given as inpatients in 27.3% of the cycles. The no. of days of AZA Rx was 7 in 63.6% of the cycles, week-end off Rx being common place (5-2-2 schedule in 71.9%). Median AZA daily dose was 73.6 mg/sqm (&lt;50 in 2.7%). During follow-up (median 8.6 months, 0.1-48.7), 56 Pts progressed (39 on and 17 off-Rx). In 18, response was not evaluable (lack of BM assessment or death before 8 weeks). Best ORR according to IWG-2006 was 44.5% and 53.3% in the ITT and evaluable populations, respectively, while ORR according to ELN-2010 was 17.3% and 20.7%, respectively. Complete response rate (including CRm/CRi) was 15.5% and 18.5%, respectively, with both criteria. Platelet count duplication after 1st cycle predicted ORR with IWG-2006 (82.4% vs. 33.8%, p=0.001, Fisher) but this was less evident with ELN-2010 (41.2% vs., 18.3%, p=0.057, Fisher). Median OS from 1st AZA cycle was 8.1 months (CI95% 5.3-10.9, range 0.1-47.9; OS at 12 months 36.7%, OS at 24 months 7%), OS from Dx 9.5 (CI 6.0-10.0, 0.1-48.7) and PFS 7.2 (CI 4.7-9.8; 0.1-29.5). Multivariate analysis showed that the best predictors of OS in our series were: ECOG &lt;=1, BMB &lt;=30%, a diploid cyto and WBC before 1st AZA cycle &lt;10.0xE9/L. GFM score (Park et al, 2008), but not MLD, MDS-related AML or AZA dose, also predicted OS (p&lt;0.001, Logrank). As expected, responders lived longer than non-responders, but discrimination was better for IWG-2006 (HR=2.84) than ELN-2010 (HR=2.32), suggesting that a PB response may also impact survival in AML. Six-hundred thirty-eight AEs were reported (25.9% SAEs and 36.7% grade III-IV), most commonly infectious (25.5%), hematological (19.3%), gastrointestinal (18.3%) and cutaneous (11.8%). CONCLUSION: OS of AML Pts treated with AZA seems promising, although it depends on ECOG, BM blast proportion, cytogenetics and WBC before 1st AZA cycle. After adjusting for cytogenetics, multilineage dysplasia does not result informative for OS in this population.</t>
  </si>
  <si>
    <t>Rasmussen B, Nilsson L, Jadersten M  et al. A randomized phase II study of standard dose azacitidine alone or in combination with lenalidomide in high-risk MDS with a karyotype including del(5q). HemaSphere. Conference: 23rd Congress of the European Hematology Association, EHA 2018. Sweden. 2 (Supplement 2) (pp 715), 2018. Date of Publication: June 2018.</t>
  </si>
  <si>
    <t xml:space="preserve">Rasmussen B.
Nilsson L.
Jadersten M.
Tobiasson M.
Garelius H.
Norgaard J.M.
Dybedal I.
Gronbaek K.
Kittang A.O.
Lorenz F.
Eberling F.
Flogegard M.
Marcher C.W.
Ejerblad E.
Fernstrom A.O.
Bernard E.
Gohring G.
Papaemmanuil E.
Saft L.
Hellstrom-Lingberg E.
Mollgard L.
</t>
  </si>
  <si>
    <t>HemaSphere. Conference: 23rd Congress of the European Hematology Association, EHA 2018. Sweden. 2 (Supplement 2) (pp 715), 2018. Date of Publication: June 2018.</t>
  </si>
  <si>
    <t>Background: Patients with high-risk MDS with 5q deletion have a poor prognosis and there is a need for improvement of the current standard azacitidine (AZA) treatment. Lenalidomide (LEN) is an effective treatment for patients with lower-risk MDS with del(5q), and we previously showed that monotherapy with high-dose LEN may have antitumor effects also in highrisk del(5q) myeloid disease. We hypothesized that an upfront combination of AZA and high-dose LEN would be more effective than AZA alone for patients with del(5q) and an approved indication for azacitidine treatment according to the EMA label._x000D_
Aim(s): We designed a Nordic MDS group prospective multicentre randomized phase II trial and evaluated the efficacy and safety of AZA +/- LEN._x000D_
Method(s): Consecutive patients with high-risk MDS (IPSS INT-2 and high) and AML with multilineage dysplasia and 20-29 % blasts (previous RAEBt) with a karyotype including del(5q) were included. Patients were randomized to standard dose of AZA 5-2-2 (75 mg/m2/ d sc.) q 4 weeks for 6 cycles, or the same schedule of AZA+LEN. The initial dose of LEN was 10 mg daily 21/28 days. If well tolerated the dose was increased to 25 mg daily during cycle 4-6. The primary end point was response according to international working group (IWG) criteria. Secondary endpoints encompassed safety, AZA cycle interval between groups and survival. Informed consent was obtained._x000D_
Result(s): Seventy-two patients, from 12 centers in Sweden, Denmark, Norway and Finland were included between March 2012 and Jan 2017. Thirty-six patients were randomized to each arm. Median age was 71.5 years (35-84 yrs.). Thirty patients (41%) were female. Fifty-two (75%) patients were diagnosed with MDS and 18 (25%) patients with AML. According to IPSS the cytogenetic risk group was good in 8 patients (11%), intermediate in 4 patients (6%) and poor in 60 patients (83%). Serious adverse events were similar in the two groups. 47 patients (65%) completed 3 cycles and 40 patients (56%) completed the total treatment period. There was no difference in AZA cycle interval between the two groups. In the AZA+LEN arm, 7 out of 36 patients (19%), increased the lenalidomide dose to 25 mg/day during cycle 4-6. The overall response rate (ORR) was 36% for patients receiving AZA alone and 28% for AZA+LEN (P=0.85) and the corresponding marrow CR rates were 28% and 36%, respectively (P=0.45). At follow-up at 7 months (range, 0 to 36 months) after the last patient completed the trial the median survival was 14 months for patients receiving AZA and 10 months for the AZA+LEN arm (P=0.18). Nine patients (25%) in the AZA arm and eight patients (22%) in the AZA+LEN arm had a hematological improvement (P=0.81). Cytogenetic response (karyotype showing CR and PR) was achieved in 17% in the AZA arm and 28% in the AZA+LEN arm (P=0.13). Corresponding FISH analysis showed 39% in each group. After 3 cycles there was a trend towards a better cytogenetic response rate (FISH) in the AZA+LEN arm, 50% and 36%, respectively (P=0.052). Summary/Conclusion: This is the first prospective randomized clinical trial in higher-risk MDS with a defined cytogenetic lesion. In this study with high-risk MDS and AML patients with del(5q) and a dismal prognosis the addition of LEN to standard AZA treatment did not improve overall response or survival but may indicate a stronger antitumor response after three cycles.</t>
  </si>
  <si>
    <t>Riedel J, Kriesen U, Grosse-Thie C, Henze L, Glaser H, Murua Escobar H, Junghanss C. AML patients in palliative care setting: Influence on life span and transfusion habits, assessment on quality of life and previous treatment. Oncology Research and Treatment. 2016 Oct;39:178-179.</t>
  </si>
  <si>
    <t>Riedel J.
Kriesen U.
Grosse-Thie C.
Henze L.
Glaser H.
Murua Escobar H.
Junghanss C.</t>
  </si>
  <si>
    <t>Oncology Research and Treatment. Conference: Jahrestagung der Deutschen, Osterreichischen und Schweizerischen Gesellschaften fur Hamatologie und Medizinische Onkologie 2016. Germany. 39 (pp 178-179), 2016. Date of Publication: October 2016.</t>
  </si>
  <si>
    <t xml:space="preserve">AML patients in palliative care setting: Influence on life span and transfusion habits, assessment on quality of life and previous treatment. </t>
  </si>
  <si>
    <t>Introduction: Acute myeloid leukemia patients suffer from variable physical symptoms as well as psychological distress. Whereas in younger patients treatment concepts aim at cure, prognosis in older patients is grave and oncological treatments aim at life prolongation. Integration of palliative care concepts into oncology care of AML patients is not well defined. Here we report on a retrospective pilot study analyzing AML patients that were treated in the palliative care ward of the University of Rostock. Method: Consecutive AML patients that were treated on the interdisciplinary palliative care ward between 08/2008 and 12/2015 were analyzed Analysis included patients' characteristics like age, type of AML, previous therapy, referral date, duration of hospitalization and place of death as well as transfusion patterns. Aspects of quality of life were assessed orally and by questionnaires including numeric rating scale (NRS). Results: A total of 33 AML patients were cared for. Median age was 77 years (range 54-89 years). Most patients were male (n = 20, 61%), less female (n = 13, 49%). Median number of PC ward admissions were 2 (range 1 to 4). Six patients (18%) were initially treated with curative intention, 20 patients (61%) received a palliative chemotherapy with hypomethylating agents and seven patients (21%) received best supportive care. Weakness, loss of appetite and fatigue were reported as the most important physical symptoms. Most patients died inpatient. Places of death were at PC ward (84,5%), at hospice (9%) and at home (6,5%).The time of survival depended on previous therapies, amount of transfusions and characteristics of AML. Of interest, most patients received RBC (20/33, 61%) and platelet transfusions (20/33, 61%) during their stay on PC ward. RBC transfusions significantly increased Hb-values as expected, there were no changes in physical well being (dyspnea, weakness, fatigue). Plt.-transfusions did reduce visible bleedings. Conclusions: Our study demonstrates the need for optimized early integration of standard palliative care into oncology treatment concepts of AML patients. In particular transfusion policies and the discussion on it with the patients and their relatives should be addressed in the future.</t>
  </si>
  <si>
    <t>Roboz GJ, Mandrekar SJ, Desai P  et al. Randomized trial of 10 days of decitabine 6 bortezomib in untreated older patients with AML: CALGB 11002 (Alliance). Blood Advances. 2 (24) (pp 3608-3617), 2018. Date of Publication: 26 Dec 2018.</t>
  </si>
  <si>
    <t xml:space="preserve">Roboz G.J.
Mandrekar S.J.
Desai P.
Laumann K.
Walker A.R.
Wang E.S.
Kolitz J.E.
Powell B.L.
Attar E.C.
Stock W.
Bloomfield C.D.
Kohlschmidt J.
Mrozek K.
Hassane D.C.
Garraway L.
Jane-Valbuena J.
Baltay M.
Tracy A.
Marcucci G.
Stone R.M.
Larson R.A.
</t>
  </si>
  <si>
    <t>Blood Advances. 2 (24) (pp 3608-3617), 2018. Date of Publication: 26 Dec 2018.</t>
  </si>
  <si>
    <t>Novel treatment strategies are needed for older patients with acute myeloid leukemia (AML). This randomized phase 2 trial compared the efficacy and safety of 20 mg/m&lt;sup&gt;2&lt;/sup&gt; of IV decitabine on days 1 to 10 alone (arm A) with those of 1.3 mg/m&lt;sup&gt;2&lt;/sup&gt; of subcutaneous bortezomib (arm B) on days 1, 4, 8, and 11 for up to 4 10-day cycles followed by monthly 5-day cycles. Previously untreated AML patients age $60 years (excluding those with FLT3 mutations and favorable-risk cytogenetics) without restrictions in performance status (PS) or organ function were eligible. Median age was 72.4 years (range, 60.5-92.3 years); 31 patients (19%) had baseline PS $2, 35 (22%) had an antecedent hematological disorder, 58 had (39%) adverse cytogenetics, and 7 (5%) and 23 (14%) had abnormal cardiac or renal function. There were no statistically significant differences in overall survival (OS) or responses between the 2 treatment arms. The overall response rate (complete remission 1 complete remission with incomplete blood count recovery) was 39% (n 5 64), with median OS of 9.3 months. Nineteen responders (31%) underwent allogeneic stem cell transplantation. The most common adverse event was febrile neutropenia, and there were no unexpected toxicities. Adding bortezomib to decitabine did not improve outcomes, but responses were better than those in previous trials using 5-day decitabine cycles. This trial was registered at www.clinicaltrials.gov as #NCT01420926._x000D_
Copyright © 2018 American Society of Hematology. All rights reserved.</t>
  </si>
  <si>
    <t>Sekeres MA, Lancet JE, Wood BL, Grove LE, Sandalic L, Sievers EL, Jurcic JG. Randomized phase IIb study of low-dose cytarabine and lintuzumab versus low-dose cytarabine and placebo in older adults with untreated acute myeloid leukemia. Haematologica. 2013 Jan;98(1):119-28.</t>
  </si>
  <si>
    <t>Sekeres MA
Lancet JE
Wood BL
Grove LE
Sandalic L
Sievers EL
Jurcic JG</t>
  </si>
  <si>
    <t>Haematologica. 98(1):119-28, 2013 Jan</t>
  </si>
  <si>
    <t>Improving outcomes in older adults with acute myeloid leukemia remains a formidable challenge. Lintuzumab (SGN-33; HuM195) is a humanized monoclonal antibody directed against CD33, which is expressed on the majority of myeloblasts in acute myeloid leukemia. The primary objective of this randomized, double-blinded, placebo-controlled trial was to determine whether addition of lintuzumab to low-dose cytarabine would increase overall survival in adults aged 60 years and over with untreated acute myeloid leukemia. Randomization was stratified by age, previous hematologic disorder, and performance status. All patients received cytarabine (20 mg subcutaneously twice daily) on Days 1-10 of each 28-day cycle. Patients received lintuzumab (600 mg) or placebo intravenously once weekly in Cycle 1 and once every other week in Cycles 2-12. A total of 211 patients (107 lintuzumab, 104 placebo) were randomized. Median age was 70 years (range 60-90). Survival was not significantly prolonged with lintuzumab treatment (hazard ratio 0.96; 95% confidence interval (CI) 0.72-1.28; P=0.7585). Median survival was similar between treatment arms (4.7 months lintuzumab vs. 5.1 months placebo) and in the subgroup of patients with high-risk cytogenetics (4.5 months). Infusion-related reactions, predominantly Grades 1-2, occurred more commonly in the lintuzumab arm (51% vs. 7% placebo); no other clinically significant difference in safety was noted. These results confirm that lintuzumab in combination with low-dose cytarabine did not prolong survival and that low-dose cytarabine remains a valid comparator for trials of non-intensive therapies in older patients with acute myeloid leukemia, regardless of cytogenetic profile.</t>
  </si>
  <si>
    <t>Seymour JF, Döhner H, Butrym A, et al. Azacitidine improves clinical outcomes in older patients with acute myeloid leukaemia with myelodysplasia-related changes compared with conventional care regimens. BMC Cancer. 2017;17(1):852. doi:10.1186/s12885-017-3803-6</t>
  </si>
  <si>
    <t>Seymour JF, Dohner H, Butrym A, Wierzbowska A, Selleslag D, Jang JH, Kumar R, Cavenagh J, Schuh AC, Candoni A, Recher C, Sandhu I, del Castillo TB, Al-Ali HK, Falantes J, Stone RM, Minden MD, Weaver J, Songer S, Beach CL, Dombret H</t>
  </si>
  <si>
    <t>BMC cancer.  17(1) (no pagination):2017.</t>
  </si>
  <si>
    <t>Background: Compared with World Health Organization-defined acute myeloid leukaemia (AML) not otherwise specified, patients with AML with myelodysplasia-related changes (AML-MRC) are generally older and more likely to have poor-risk cytogenetics, leading to poor response and prognosis. More than one-half of all older (&gt;=65 years) patients in the phase 3 AZA-AML-001 trial had newly diagnosed AML-MRC. Methods: We compared clinical outcomes for patients with AML-MRC treated with azacitidine or conventional care regimens (CCR; induction chemotherapy, low-dose cytarabine, or supportive care only) overall and within patient subgroups defined by cytogenetic risk (intermediate or poor) and age (65-74 years or &gt;=75 years). The same analyses were used to compare azacitidine with low-dose cytarabine in patients who had been preselected to low-dose cytarabine before they were randomized to receive azacitidine or CCR (ie, low-dose cytarabine). Results: Median overall survival was significantly prolonged with azacitidine (n = 129) versus CCR (n = 133): 8.9 versus 4.9 months (hazard ratio 0.74, [95%CI 0.57, 0.97]). Among patients with intermediate-risk cytogenetics, median overall survival with azacitidine was 16.4 months, and with CCR was 8.9 months (hazard ratio 0.73 [95%CI 0.48, 1.10]). Median overall survival was significantly improved for patients ages 65-74 years treated with azacitidine compared with those who received CCR (14.2 versus 7.3 months, respectively; hazard ratio 0.64 [95%CI 0.42, 0.97]). Within the subgroup of patients preselected to low-dose cytarabine before randomization, median overall survival with azacitidine was 9.5 months versus 4.6 months with low-dose cytarabine (hazard ratio 0.77 [95%CI 0.55, 1.09]). Within the low-dose cytarabine preselection group, patients with intermediate-risk cytogenetics who received azacitidine had a median overall survival of 14.1 months versus 6.4 months with low-dose cytarabine, and patients aged 65-74 years had median survival of 14.9 months versus 5.2 months, respectively. Overall response rates were similar with azacitidine and CCR (24.8% and 17.3%, respectively), but higher with azacitidine versus low-dose cytarabine (27.2% and 13.9%). Adverse events were generally comparable between the treatment arms. Conclusions: Azacitidine may be the preferred treatment for patients with AML-MRC who are not candidates for intensive chemotherapy, particularly patients ages 65-74 years and those with intermediate-risk cytogenetics. Trial registration: This study was registered at clinicalTrials.gov on February 16, 2010 ( NCT01074047 ). Copyright (C) 2017 The Author(s).</t>
  </si>
  <si>
    <t>Seymour_Haema_2015 (abstract)</t>
  </si>
  <si>
    <t>Seymour JF, Dohner H, Kumar R, Stone RM, Wierzbowska A, Bernal Del Castillo T, Falantes J, Delaunay J, Sabloff M, Voso MT, Kim I, Ram R, Gau JP, Songer S, Lucy LM, Beach C, Dombret H. Overall survival (OS) and clinical outcomes in older patients with acute myeloid leukemia (AML) treated with azacitidine (AZA) or low-dose cytarabine (LDAC) in the AZA-AML-001 study. Haematologica.  2015 Jun 11-14;100:381.</t>
  </si>
  <si>
    <t>Seymour JF, Dohner H, Kumar R, Stone RM, Wierzbowska A, Bernal Del Castillo T, Falantes J, Delaunay J, Sabloff M, Voso MT, Kim I, Ram R, Gau JP, Songer S, Lucy LM, Beach C, Dombret H</t>
  </si>
  <si>
    <t>Haematologica.  Vol.100, pp.381, CONFERENCE START: 2015 Jun 11 CONFERENCE END: 2015 Jun 14, 20th Congress of the European Hematology Association Vienna Austria.,</t>
  </si>
  <si>
    <t>Overall survival (OS) and clinical outcomes in older patients with acute myeloid leukemia (AML) treated with azacitidine (AZA) or low-dose cytarabine (LDAC) in the AZA-AML-001 study.</t>
  </si>
  <si>
    <t>Background: There is no standard treatment (Tx) for older patients (pts) with AML, who have especially poor OS due to adverse risk factors such as unfavorable karyotypes and poor performance status (PS). Older pts may be unfit for high-intensity induction chemotherapy (IC); such pts are often treated with LDAC or best supportive care (BSC) alone, which are associated with very poor outcome (Dombret, Semin Oncol, 2008). The international phase 3 AZAAML- 001 study compared AZA with conventional care regimens (CCR) in older pts with AML. Before randomization, investigators selected their preferred Tx option for each pt from 3 commonly used CCR for AML Tx: IC, LDAC, or BSC only. Pts were then randomized to receive AZA or CCR and received their preselected Tx. Aims: To compare effects of AZA vs LDAC on OS and clinical outcomes in the subgroup of pts in AZA-AML-001 preselected to receive LDAC before randomization. Methods: Pts aged &gt;65 years with newly diagnosed de novo or secondary AML (&gt;30% bone marrow [BM] blasts by local assessment), ECOG PS 0-2, WBC count &lt;15x109/L, and intermediate- or poor-risk cytogenetics were enrolled. AZA dose was 75mg/m2/day SC x7 days/28-day cycle and LDAC dose was 20mg SC BID x10 days/28-day cycle. OS and 1-year survival were estimated using Kaplan-Meier methods. OS was compared between Tx groups by log-rank test. An unstratified Cox proportional hazards model generated hazard ratios (HRs) and 95% CIs. Overall response rate (ORR) included complete remission (CR) +CR with incomplete blood count recovery (CRi) (IWG 2003). Proportions of pts with grade 3-4 infections and hematologic treatmentemergent adverse events (TEAEs), and TEAE incidence rates (IR) per 100 ptyears of Tx exposure, are reported. Results: Of all pts in AZA-AML-001, most (312/488, 64%) were preselected to receive LDAC (AZA n=154, LDAC n=158). Median number of Tx cycles received was 7 (range 1-28) for AZA and 4 (1-25) for LDAC. At baseline in the AZA and LDAC groups, respectively, median ages were 76 (range 64-90) and 75 (65-88) years; 25% and 22% had ECOG PS of 2; centrally read median BM blasts were 70% (2-100) and 74% (4-100); and 29% and 34% of pts had poorrisk cytogenetics. Median OS in the AZA and LDAC groups was 11.2 vs 6.4 months (mon), respectively (HR=0.90 [95%CI 0.70, 1.16], p=0.43; Figure), indicating a 4.8-mon (95%CI 1.7, 7.9) longer median OS with AZA. The OS difference was not statistically significant due to convergence of the OS curves at ~20 mon. One-year survival rate was 48.5% with AZA vs 34.0% with LDAC, a difference of 14.5% (95%CI 3.5%, 25.5%). ORR was 27% with AZA and 26% with LDAC. Proportions [IRs] of AZA and LDAC pts, respectively, with grade 3- 4 TEAEs were: anemia 19% vs 23% [26 vs 42]; neutropenia 25% vs 25% [33 vs 46]; febrile neutropenia 27% vs 30% [36 vs 56]; thrombocytopenia 25% vs 28% [34 vs 51]; and infections 49% vs 46% [66 vs 84]. (Figure presented) Summary and Conclusions: Analyzing outcomes within preselection groups allows assessment of Tx effects in pts with generally similar prognoses and clinical features, as preselection of the preferred CCR occurred before randomization. AZA was associated with a longer median OS of 11.2 mon vs 6.4 mon with LDAC, in pts with similar features at study entry. At 1 year, almost one-half of AZA-treated pts were alive, compared with approximately one-third of LDAC-treated pts. Quality of life outcomes during Tx with AZA or LDAC in this pt group are now being evaluated. AZA may offer potential advantages over LDAC as first-line low-intensity Tx in difficult-to-treat older pts with AML and high blast counts.</t>
  </si>
  <si>
    <t>Kadia TM, Cortes J, Ravandi F et al. Treatment with a 5-day versus a 10-day schedule of decitabine in older patients with newly diagnosed acute myeloid leukaemia: a randomised phase 2 trial. The Lancet Haematology. 6(1):e29-e37, 2019 Jan.</t>
  </si>
  <si>
    <t xml:space="preserve">Short NJ
Kantarjian HM
Loghavi S
Huang X
Qiao W
Borthakur G
Kadia TM
Daver N
Ohanian M
Dinardo CD
Estrov Z
Kanagal-Shamanna R
Maiti A
Benton CB
Bose P
Alvarado Y
Jabbour E
Kornblau SM
Pemmaraju N
Jain N
Gasior Y
Richie MA
Pierce S
Cortes J
Konopleva M
Garcia-Manero G
Ravandi F
</t>
  </si>
  <si>
    <t>The Lancet Haematology. 6(1):e29-e37, 2019 Jan.</t>
  </si>
  <si>
    <t>BACKGROUND: Hypomethylating agents, such as decitabine, are the standard of care for older patients with newly diagnosed acute myeloid leukaemia. Single-arm studies have suggested that a 10-day schedule of decitabine cycles leads to better outcomes than the usual 5-day schedule. We compared the efficacy and safety of these two schedules._x000D_
_x000D_
METHODS: Eligible patients were aged 60 years or older with acute myeloid leukaemia but unsuitable for intensive chemotherapy (or &lt;60 years if unsuitable for intensive chemotherapy with an anthracycline plus cytarabine). The first 40 patients were allocated equally to the two treatment groups by computer-generated block randomisation (block size 40), after which a response-adaptive randomisation algorithm used all previous patients' treatment and response data to decide the allocation of each following patient favouring the group with superior response. Patients were assigned to receive 20 mg/m&lt;sup&gt;2&lt;/sup&gt; decitabine intravenously for 5 or 10 consecutive days as induction therapy, every 4-8 weeks for up to three cycles. Responding patients received decitabine as consolidation therapy on a 5-day schedule for up to 24 cycles. We assessed a composite primary endpoint of complete remission, complete remission with incomplete platelet recovery (CRp), and complete remission with incomplete haematological recovery (CRi) achieved at any time and assessed by intention to treat. This trial is registered with ClinicalTrials.gov, number NCT01786343._x000D_
_x000D_
FINDINGS: Between Feb 28, 2013, and April 12, 2018, 71 patients were enrolled. 28 received decitabine for 5 days and 43 for 10 days, and all were assessable for efficacy and safety. The primary endpoint was achieved in similar proportions of patients in the two treatment groups (12 [43%] of 28 in the 5-day schedule group, 95% credible interval 26-60, and 17 [40%] of 43 in the 10-day schedule group, 26-54, p=0.78; difference 3%, -21 to 27). Total follow-up was 38.2 months, during which the median duration of overall survival was 5.5 months (IQR 2.1-11.7) in the 5-day group and 6.0 months (1.9-11.7) in the 10-day group. 1-year overall survival was 25% in both groups. Complete remission, CRp, CRi, and overall survival did not differ between groups when stratified by cytogenetics, de-novo versus secondary or therapy-related acute myeloid leukaemia, or TP53&lt;sup&gt;mut&lt;/sup&gt; status. The most common grade 3-4 adverse events were neutropenic fever (seven patients [25%] in the 5-day group and 14 [33%] in the 10-day group) and infection (five [18%] and 16 [37%], respectively). One patient (4%) died from sepsis in the context of neutropenic fever, infection, and haemorrhage in the 5-day group, and in the 10-day group six patients (14%) died from infection. Early mortality was similar in the two groups._x000D_
_x000D_
INTERPRETATION: In older patients with newly diagnosed acute myeloid leukaemia, efficacy and safety did not differ by the 5-day or the 10-day decitabine schedule._x000D_
_x000D_
FUNDING: University of Texas MD Anderson Cancer Center and National Cancer Institute Specialized Programs of Research Excellence._x000D_
Copyright © 2019 Elsevier Ltd. All rights reserved.</t>
  </si>
  <si>
    <t>Silverman LR, Demakos EP, Peterson BL, Kornblith AB, Holland JC, Odchimar-Reissig R, Stone RM, Nelson D, Powell BL, DeCastro CM, Ellerton J, Larson RA, Schiffer CA, Holland JF. Randomized controlled trial of azacitidine in patients with the myelodysplastic syndrome: A study of the cancer and leukemia. Journal of Clinical Oncology. 2002 May 15;20(10):2429-2440.</t>
  </si>
  <si>
    <t>Silverman L.R.
Demakos E.P.
Peterson B.L.
Kornblith A.B.
Holland J.C.
Odchimar-Reissig R.
Stone R.M.
Nelson D.
Powell B.L.
DeCastro C.M.
Ellerton J.
Larson R.A.
Schiffer C.A.
Holland J.F.</t>
  </si>
  <si>
    <t>Journal of Clinical Oncology. 20 (10) (pp 2429-2440), 2002. Date of Publication: 15 May 2002.</t>
  </si>
  <si>
    <t>Purpose: Patients with high-risk myelodysplastic syndrome (MDS) have high mortality from bone marrow failure or transformation to acute leukemia. Supportive care is standard therapy. We previously reported that azacitidine (Aza C) was active in patients with high-risk MDS. Patients and Methods: A randomized controlled trial was undertaken in 191 patients with MDS to compare Aza C (75 mg/m&lt;sup&gt;2&lt;/sup&gt;/d subcutaneously for 7 days every 28 days) with supportive care. MDS was defined by French-American-British criteria. New rigorous response criteria were applied. Both arms received transfusions and antibiotics as required. Patients in the supportive care arm whose disease worsened were permitted to cross over to Aza C. Results: Responses occurred in 60% of patients on the Aza C arm (7% complete response, 16% partial response, 37% improved) compared with 5% (improved) receiving supportive care (P &lt; .001). Median time to leukemic transformation or death was 21 months for Aza C versus 13 months for supportive care (P = .007). Transformation to acute myelogenous leukemia occurred as the first event in 15% of patients on the Aza C arm and in 38% receiving supportive care (P = .001). Eliminating the confounding effect of early cross-over to Aza C, a landmark analysis after 6 months showed median survival of an additional 18 months for Aza C and 11 months for supportive care (P = .03). Quality-of-life assessment found significant major advantages in physical function, symptoms, and psychological state for patients initially randomized to Aza C. Conclusion: Aza C treatment results in significantly higher response rates, improved quality of life, reduced risk of leukemic transformation, and improved survival compared with supportive care. Aza C provides a new treatment option that is superior to supportive care for patients with the MDS subtypes and specific entry criteria treated in this study. © 2002 by American Society of Clinical Oncology.</t>
  </si>
  <si>
    <t>Thepot S, Itzykson R, et al. American Journal of Hematology. 89(4):410-6, 2014 Apr.</t>
  </si>
  <si>
    <t>Thepot S_x000D_
_x000D_
Itzykson R_x000D_
_x000D_
Seegers V_x000D_
_x000D_
Recher C_x000D_
_x000D_
Raffoux E_x000D_
_x000D_
Quesnel B_x000D_
_x000D_
Delaunay J_x000D_
_x000D_
Cluzeau T_x000D_
_x000D_
Marfaing Koka A_x000D_
_x000D_
Stamatoullas A_x000D_
_x000D_
Chaury MP_x000D_
_x000D_
Dartigeas C_x000D_
_x000D_
Cheze S_x000D_
_x000D_
Banos A_x000D_
_x000D_
Morel P_x000D_
_x000D_
Plantier I_x000D_
_x000D_
Taksin AL_x000D_
_x000D_
Marolleau JP_x000D_
_x000D_
Pautas C_x000D_
_x000D_
Thomas X_x000D_
_x000D_
Isnard F_x000D_
_x000D_
Beve B_x000D_
_x000D_
Chait Y_x000D_
_x000D_
Guerci A_x000D_
_x000D_
Vey N_x000D_
_x000D_
Dreyfus F_x000D_
_x000D_
Ades L_x000D_
_x000D_
Ifrah N_x000D_
_x000D_
Dombret H_x000D_
_x000D_
Fenaux P_x000D_
_x000D_
Gardin C_x000D_
_x000D_
Groupe Francophone des Myelodysplasies (GFM), Acute Leukemia French Association (ALFA); Groupe Ouest-Est des Leucemies Aigues; Maladies du Sang (GOELAMS)</t>
  </si>
  <si>
    <t>American Journal of Hematology. 89(4):410-6, 2014 Apr.</t>
  </si>
  <si>
    <t>Limited data are available on azacitidine (AZA) treatment and its prognostic factors in acute myeloid leukemia (AML). One hundred and forty-nine previously untreated AML patients considered ineligible for intensive chemotherapy received AZA in a compassionate patient-named program. AML diagnosis was de novo, post-myelodysplastic syndromes (MDS), post-MPN, and therapy-related AML in 51, 55, 13, and 30 patients, respectively. Median age was 74 years, median white blood cell count (WBC) was 3.2 x 109 /L and 58% of the patients had &gt;= 30% marrow blasts. Cytogenetics was adverse in 60 patients. Patients received AZA for a median of five cycles (range 1-31). Response rate (including complete remission/CR with incomplete recovery/partial remission) was 27.5% after a median of three cycles (initial response), and 33% at any time (best response). Only adverse cytogenetics predicted poorer response. Median overall survival (OS) was 9.4 months. Two-year OS was 51% in responders and 10% in non-responders (P&lt;0.0001). Adverse cytogenetics, WBC &gt;15 x 109 /L and ECOG-PS &gt;= 2 predicted poorer OS, while age and marrow blast percentage had no impact. Using MDS IWG 2006 response criteria, among patients with stable disease, those with hematological improvement had no significant survival benefit in a 7 months landmark analysis. Outcomes observed in this high-risk AML population treated with AZA deserve comparison with those of patients treated intensively in prospective studies._x000D_
Copyright © 2013 Wiley Periodicals, Inc.</t>
  </si>
  <si>
    <t>Tombak A, Ucar MA, et al. Turkish Journal of Haematology. 33(4):273-280, 2016 Dec 01.</t>
  </si>
  <si>
    <t>Tombak A_x000D_
_x000D_
Ucar MA_x000D_
_x000D_
Akdeniz A_x000D_
_x000D_
Tiftik EN_x000D_
_x000D_
Goren Sahin D_x000D_
_x000D_
Akay OM_x000D_
_x000D_
Yildirim M_x000D_
_x000D_
Nevruz O_x000D_
_x000D_
Kis C_x000D_
_x000D_
Gurkan E_x000D_
_x000D_
Solmaz SM_x000D_
_x000D_
Ozcan MA_x000D_
_x000D_
Yildirim R_x000D_
_x000D_
Berber I_x000D_
_x000D_
Erkurt MA_x000D_
_x000D_
Firatli Tuglular T_x000D_
_x000D_
Tarkun P_x000D_
_x000D_
Yavasoglu I_x000D_
_x000D_
Dogu MH_x000D_
_x000D_
Sari I_x000D_
_x000D_
Merter M_x000D_
_x000D_
Ozcan M_x000D_
_x000D_
Yildizhan E_x000D_
_x000D_
Kaynar L_x000D_
_x000D_
Mehtap O_x000D_
_x000D_
Uysal A_x000D_
_x000D_
Sahin F_x000D_
_x000D_
Salim O_x000D_
_x000D_
Sungur MA</t>
  </si>
  <si>
    <t>Turkish Journal of Haematology. 33(4):273-280, 2016 Dec 01.</t>
  </si>
  <si>
    <t>OBJECTIVE: In this study, we aimed to investigate the efficacy and safety of azacitidine (AZA) in elderly patients with acute myeloid leukemia (AML), including patients with &gt;30% bone marrow (BM) blasts._x000D_
_x000D_
MATERIALS AND METHODS: In this retrospective multicenter study, 130 patients of &gt;=60 years old who were ineligible for intensive chemotherapy or had progressed despite conventional treatment were included._x000D_
_x000D_
RESULTS: The median age was 73 years and 61.5% of patients had &gt;30% BM blasts. Patients received AZA for a median of four cycles (range: 1-21). Initial overall response [including complete remission (CR)/CR with incomplete recovery/partial remission] was 36.2%. Hematologic improvement (HI) of any kind was documented in 37.7% of all patients. HI was also documented in 27.1% of patients who were unresponsive to treatment. Median overall survival (OS) was 18 months for responders and 12 months for nonresponders (p=0.005). In the unresponsive patient group, any HI improved OS compared to patients without any HI (median OS was 14 months versus 10 months, p=0.068). Eastern Cooperative Oncology Group performance status of &lt;2, increasing number of AZA cycles (&gt;=5 courses), and any HI predicted better OS. Age, AML type, and BM blast percentage had no impact._x000D_
_x000D_
CONCLUSION: We conclude that AZA is effective and well tolerated in elderly comorbid AML patients, irrespective of BM blast count, and HI should be considered a sufficient response to continue treatment with AZA.</t>
  </si>
  <si>
    <t>Tremblay G, Arondekar B, Chan G, Shor A, Forsythe A, Yun S. Covariate Adjusted Indirect Treatment Comparison (ITC) of Glasdegib Plus Low Dose Ara-C Versus a Hypomethylating Agent for Acute Myeloid Leukemia Patients Ineligible for Intensive Chemotherapy. Blood. 2017;130(Suppl 1):5665.</t>
  </si>
  <si>
    <t>Tremblay G.
Arondekar B.
Chan G.
Shor A.
Forsythe A.
Yun S.</t>
  </si>
  <si>
    <t>Background: Glasdegib (GLAS) is an oral smoothened inhibitor that showed significantly better overall survival (OS) when combined with Low Dose ARA-C (LDAC) versus LDAC alone in a randomized Phase 2 study of previously untreated acute myeloid leukemia (AML) patients ineligible for intensive chemotherapy (NIC).In this trial, patients receivingGLAS+LDAC versus LDAC alone showed imbalance in baseline characteristics, which could impact the results of an indirect treatment comparison (ITC). Hypomethylating agents (HMAs) azacitidine (AZA), and decitabine (DEC) are considered current standard of care in this population. There are no head-to-head studies comparing these treatments to GLAS+LDAC. Aims: To adjust efficacy results for baseline covariates in this indirect treatment comparison analysis, and enable a more robust comparison of GLAS+LDAC to AZA and DEC. Methods: Individual patient data from the GLAS+LDAC treatment group were adjusted for baseline characteristics to closely resemble the LDAC group in the Phase 2 study: mean age, gender, de novo disease, &gt;=50% bone marrow blasts, cytogenetic risk, Eastern Cooperative Oncology Group (ECOG) performance status, and mean hemoglobin (HgB) were selected for adjustment. Although none of the baseline variables were identified as statistically significant predictors of OS, the male gender, de novo disease, and &gt;= 50% bone marrow blasts were associated with a negative impact on OS. Age, ECOG status, and mean HgB did not demonstrate a meaningful impact on OS. Cytogenetic risk was a stratification variable in the GLAS randomized controlled trial and was not expected to have an impact on OS in this analysis. Classical frequentist ITC implementing the Bucher method was then used to indirectly compare covariate adjusted OS hazards ratios (HRs) with 95% confidence intervals (CI) using LDAC as the common comparator. Results: The intent-to-treat (ITT) OS Cox model for GLAS+LDAC vs. LDAC demonstrated OS HR=0.463 (0.299-0.717). The covariate adjustment lead to OS HR=0.443 (0.275-0.712). ITC of GLAS+LDAC vs. AZA yielded OS HRs of 0.514 (0.310-0.852) and 0.492 (0.287-0.843) for ITT and covariate adjusted OS, respectively. ITC of GLAS+LDAC vs. DEC yielded OS HRs of 0.564 (0.351-0.908) and 0.540 (0.324-0.900) (Table). Conclusions: The results of the covariate adjusted ITC confirmed the robustness of the ITT analysis and demonstrated statistically significant improvements in OS for GLAS+LDAC as compared to AZA and DEC.</t>
  </si>
  <si>
    <t>Tremblay G, Dolph M, Patel S, Brandt P, Forsythe A. Cost-effectiveness analysis of midostaurin (MIDO) with standard chemotherapy (SOC) for acute myeloid leukemia (AML) in the united kingdom (UK). Value in Health. 2017 Oct-Nov;20(9):A399.</t>
  </si>
  <si>
    <t>Tremblay G.
Dolph M.
Patel S.
Brandt P.
Forsythe A.</t>
  </si>
  <si>
    <t>Value in Health. Conference: ISPOR 20th Annual European Congress. United Kingdom. 20 (9) (pp A399), 2017. Date of Publication: October�November 2017.</t>
  </si>
  <si>
    <t>Objectives: MIDO is under EMA review for treatment of newly diagnosed adult patients with FLT3 mutation-positive AML who are eligible to receive stem cell transplantation (SCT). The objective of this study was to estimate the Incremental Cost Effectiveness Ratio (ICER) of utilizing MIDO+SOC followed by MIDO monotherapy, compared to SOC for newly diagnosed AML in the UK. Methods: A partition survival model was developed to estimate the expected outcomes and costs of treatment with MIDO+SOC vs SOC over a lifetime horizon. The model included the following health states/partitions: induction, consolidation, monotherapy, complete remission (CR), relapse, SCT treatment, SCT recovery, and post-SCT recovery. Data on CR, overall survival (OS), and frequencies of adverse events (AEs) were obtained from the MIDO Phase III clinical trial (RATIFY). OS was extrapolated beyond the trial horizon using a "cure model" approach and data from the Office for National Statistics (2013-2015). Published health state utilities were used. Routine care utilisation was based on the data used in the NICE STA for azacitidine TA399. Costs incorporated in the model included drugs and administration, AE treatment, and medical costs for hospitalisations, physician visits, and end-oflife/ palliative care. Unit costs were obtained from various sources including the Personal Social Services Research Unit (PSSRU) Unit Costs of Health and Social Care (2015). Results: Incremental life years (LYs) and quality adjusted life years (QALYs) gained by patients on MIDO+SOC vs. SOC were 1.67 and 1.47 respectively. At an incremental cost for 50,404 over a lifetime horizon, the ICER per LY was 30,263 and 34,327 per QALY. Sensitivity analysis results were also consistent with the basecase findings Conclusions: With a threshold of 50,000 per QALY for end-of-life treatment, MIDO is a cost-effective option for newly-diagnosed FLT3 mutation-positive AML. With limited treatments in FLT3 mutation-positive AML, MIDO represents a new cost-effective option.</t>
  </si>
  <si>
    <t>Tremblay G, Dolph M, El Ouagari K, Brandt P, Forsythe A. Cost-Effectiveness Analysis of Midostaurin (MIDO) With Standard of Care (SOC) for Acute Myeloid Leukemia (AML) in Canada. Value in Health. 2018;21:S28-S29.</t>
  </si>
  <si>
    <t>Tremblay G, Dolph M, El Ouagari K, Brandt P, Forsythe A.</t>
  </si>
  <si>
    <t>Value in Health. 2018;21:S28-S29.</t>
  </si>
  <si>
    <t>&lt;div class="col-xs-12"&gt;&lt;div&gt;OBJECTIVES: MIDO has been recently approved by the FDA, EMA and Health Canada for treatment of newly-¬≠diagnosed FLT3 mutation-¬≠positive AML based on positive results of the Phase III RATIFY trial. The objective of this study was to estimate the incremental cost-effectiveness ratio (ICER) of utilizing MIDO+SOC followed by MIDO maintenance, compared to SOC for newly-diagnosed AML in Canada.&lt;p&gt;&lt;/p&gt; METHODS: A partition survival model was developed to estimate the expected outcomes and costs of MIDO+SOC vs SOC over a 15-year horizon. The model included the following health states/partitions: induction, consolidation, maintenance, complete remission (CR), relapse, SCT treatment, SCT recovery, and post¬≠-SCT recovery. Data on CR, overall survival (OS), and adverse events (AEs) were obtained from the MIDO Phase III RATIFY trial. OS was extrapolated beyond the trial horizon using a ‚Äúcure model‚Äù approach and data from the Statistics Canada Vital Statistics Database (2016). Health state utilities from an AML-specific TTO study were used. Routine care utilisation was based on data used in the NICE STA for azacitidine TA399. Costs incorporated in the model included drugs/administration, AE treatment, and hospitalisation, physician visits, and palliative care medical costs. Unit costs were obtained from various sources including the Ontario Case-Costing Initiative (2015/2016). Costs and benefits were discounted at 1.5%.&lt;p&gt;&lt;/p&gt; RESULTS: Incremental life-years (LYs) and quality-adjusted life-years (QALYs) gained by patients on MIDO+SOC vs. SOC were 0.72 and 0.85, respectively. At an incremental cost of $57,179 over a 15-year horizon, the ICER was $79,147 per LY and $66,937 per QALY. Results were most sensitive to variations in time horizon and healthcare resource utilisation, as well as SCT rate and maintenance duration.&lt;p&gt;&lt;/p&gt; CONCLUSIONS: With a threshold of $100,000 per QALY for oncology treatment, MIDO is a cost-effective option for newly¬≠-diagnosed FLT3 mutation-positive AML. With limited treatments in FLT3 mutation-positive AML, MIDO represents a new cost-¬effective option.</t>
  </si>
  <si>
    <t>Tremblay G, Westley T, Arondekar B, et al. Evaluating Different Indirect Treatment Comparison Approaches: A Case Study in Acute Myeloid Leukemia Patients Ineligible to Receive Intensive Chemotherapy. Value in Health. 2018;21:S17. doi:10.1016/j.jval.2018.04.100</t>
  </si>
  <si>
    <t>Tremblay G, Westley T, Arondekar B, et al.</t>
  </si>
  <si>
    <t>Value in Health. 2018;21:S17. doi:10.1016/j.jval.2018.04.100</t>
  </si>
  <si>
    <t>OBJECTIVES: The National Institute for Health and Care Excellence recommends two methods for adjusting between-trial population imbalances in indirect treatment comparisons (ITC): Matching-Adjusted Indirect Comparison (MAIC) and Simulated Treatment Comparison (STC). While neither method is recommended more, this case study compares both approaches plus standard (unadjusted) ITC among patients ineligible to receive intensive chemotherapy.&lt;p&gt;&lt;/p&gt; METHODS: Using standard ITC, MAIC, and STC, results of the Phase II glasdegib with low-dose ARA-C (GLAS+LDAC) trial (n=116) were indirectly compared to published Phase III azacitidine (AZA) trial data, with LDAC alone as the common comparator. In MAIC, patient-level data for GLAS+LDAC were weighted to match mean baseline characteristics reported for AZA. In STC, GLAS+LDAC data generated a regression model with baseline characteristics as covariates, which was used to simulate outcomes for AZA trial participants. Overall survival (OS) hazard ratios (HR) with 95% confidence intervals (CIs) were estimated.&lt;p&gt;&lt;/p&gt; RESULTS: Standard ITC demonstrated GLAS+LDAC superiority over AZA (HR=0.57; 95%CI: 0.35-0.91). Using MAIC, propensity score weighting reduced effective sample size to 32 (72% loss). MAIC estimated improved OS in favor of GLAS+LDAC, but did not reach statistical significance (HR=0.87; 95%CI: 0.48-1.58). In STC, adjusting for key population covariates found a similar yet stronger, more precise survival effect (HR=0.47; 95%CI: 0.26-0.85) without reducing sample size. CONCLUSIONS: In each ITC, GLAS+LDAC is associated with improved OS. Preserving sample size is important for subpopulations to minimize uncertainty around point estimates, improve model robustness, and derive more applicable results. While standard ITC and STC preserve the sample, only STC enables population-specific interpretations. In MAIC, significant results and interpretations are severely limited by sample size loss. Although the literature reflects increasing MAIC use despite its limitations regarding sample size reduction, choosing an ITC method should be guided by characteristics of data available to ensure robust analyses and appropriate interpretation of the data.</t>
  </si>
  <si>
    <t>Van Der Helm LH, Scheepers ERM, et al. Journal of Hematology and Oncology. 6 (1) (no pagination), 2013. Article Number: 29. Date of Publication: 2013.</t>
  </si>
  <si>
    <t>Van Der Helm L.H._x000D_
_x000D_
Scheepers E.R.M._x000D_
_x000D_
Veeger N.J._x000D_
_x000D_
Daenen S.M.G.J._x000D_
_x000D_
Mulder A.B._x000D_
_x000D_
Van Den Berg E._x000D_
_x000D_
Vellenga E._x000D_
_x000D_
Huls G.</t>
  </si>
  <si>
    <t>Journal of Hematology and Oncology. 6 (1) (no pagination), 2013. Article Number: 29. Date of Publication: 2013.</t>
  </si>
  <si>
    <t>Background: Treatment options in older acute myeloid leukaemia (AML) patients include intensive chemotherapy, best supportive care (BSC), and hypomethylating agents. Currently, limited data is available on hypomethylating agents in older AML patients in unselected patient populations. Methods. To compare the effectiveness of azacitidine with conventional therapy, we collected data of 227 consecutive AML patients (&gt;=60 years) who were treated with azacitidine (N = 26), intensive chemotherapy (N = 90), or BSC (N = 97). Results: Azacitidine-treated patients were older and had more comorbidities, but lower white blood cell- and bone marrow blast counts compared with intensive chemotherapy patients. Complete or partial response was achieved in 42% of azacitidine-treated patients and in 73% of intensive chemotherapy patients (P = 0.005). However, the overall survival (OS) was similar (1-year-OS 57% versus 56%, P = 0.93; 2-year-OS 35% versus 35%, P = 0.92), and remained similar after correction for risk factors in a multivariate analysis. Patients treated with BSC had an inferior OS (1-year- and 2-year-OS 16% and 2%, P &lt; 0.001). Compared to intensive chemotherapy, azacitidine-treated patients spent less days in the hospital (median in first three months 0.5 versus 56, P &lt; 0.001), and needed less red blood cell and platelet transfusions (median per month 2.7 versus 7, P &lt; 0.001 and 0.3 versus 5, P &lt; 0.001) in the first three months. Conclusions: Azacitidine treatment is associated with a comparable OS but higher tolerability in a subgroup of older AML patients compared with intensive chemotherapy. Patients receiving BSC had a poor prognosis. © 2013 van der Helm et al.; licensee BioMed Central Ltd.</t>
  </si>
  <si>
    <t>van der Helm LH, Veeger NJ, et al. Leukemia Research. 37(8):877-82, 2013 Aug.</t>
  </si>
  <si>
    <t>van der Helm LH_x000D_
_x000D_
Veeger NJ_x000D_
_x000D_
Kooy Mv_x000D_
_x000D_
Beeker A_x000D_
_x000D_
de Weerdt O_x000D_
_x000D_
de Groot M_x000D_
_x000D_
Alhan C_x000D_
_x000D_
Hoogendoorn M_x000D_
_x000D_
Laterveer L_x000D_
_x000D_
van de Loosdrecht AA_x000D_
_x000D_
Koedam J_x000D_
_x000D_
Vellenga E_x000D_
_x000D_
Huls G</t>
  </si>
  <si>
    <t>Leukemia Research. 37(8):877-82, 2013 Aug.</t>
  </si>
  <si>
    <t>The efficacy of azacitidine has been demonstrated in acute myeloid leukemia (AML) patients with 20-30% bone marrow (BM) blasts, but limited data is available on patients with &gt;=30% blasts. We analyzed 55 newly diagnosed AML patients, treated with azacitidine. The overall response rate was 42%. Median overall survival (OS) was 12.3 months. We confirmed poor-risk cytogenetics, therapy-related AML, performance score &gt;=2, and white blood cell count &gt;=15x10(9)/L as independent adverse predictors for OS. The BM blast percentage, however, had no impact on OS (P=0.55). In conclusion, administration of azacitidine is effective in AML patients with 20-30% and &gt;30% BM blasts._x000D_
Copyright © 2013 Elsevier Ltd. All rights reserved.</t>
  </si>
  <si>
    <t>Villeneuve P, Coyle D. Cost Effectiveness Analysis of Azacitidine in Patients with Acute Myeloid Leukemia With &gt;30% Blasts and who are Not Candidate for Curative-Intend Chemotherapy. Value in Health. 2018;21:S33. doi:10.1016/j.jval.2018.04.213</t>
  </si>
  <si>
    <t>Villeneuve P, Coyle D</t>
  </si>
  <si>
    <t>Value in Health. 2018;21:S33. doi:10.1016/j.jval.2018.04.213</t>
  </si>
  <si>
    <t>OBJECTIVES : Azacitidine is a hypomethylating agent that has been adopted for the treatment of acute myeloid leukemia in patients who are not eligible for curative-intent chemotherapy because of their age or comorbidities. Patients with low bone marrow blast counts (&lt;30%) seem to derive the greatest benefit from azacitidine compared to the patients with blasts &gt; 30%. We present here a cost-effective analysis of azacitidine in patients with AML with &gt; 30% blasts. METHODS : A markow model with a 22 months time horizon divided in 35 days cycles was developed. Cost-utility of azacitidine was compared to that of conventional care regiment (CCR: which includes best supportive care, low-dose AraC and induction chemotherapy). A Canadian public health care system as a third party public payer perspective was selected. Overall survival and utilities values were derived from the AZA-AML- 001. RESULTS : In the case base, azacitidine has an incremental cost-effectiveness ratio of $142,932 per quality adjusted life year compared to CCR.  The results were most sensitive to cost of azacitidine and then to survival with both azacitidine and CCR. CONCLUSIONS : The value of azacitidine for the treatment of azacitidine exceeds the commonly used willingness to pay in the Canadian health care system.</t>
  </si>
  <si>
    <t>Wang H-I, Aas E, Howell D, Roman E, Patmore R, Jack A, Smith A. Long-term medical costs and life expectancy of acute myeloid leukemia: A probabilistic decision model. Value in Health. 2014 Mar;17(2):205-214.</t>
  </si>
  <si>
    <t>Wang H.-I.
Aas E.
Howell D.
Roman E.
Patmore R.
Jack A.
Smith A.</t>
  </si>
  <si>
    <t>Value in Health. 17 (2) (pp 205-214), 2014. Date of Publication: March 2014.</t>
  </si>
  <si>
    <t>Background Acute myeloid leukemia (AML) can be diagnosed at any age and treatment, which can be given with supportive and/or curative intent, is considered expensive compared with that for other cancers. Despite this, no long-term predictive models have been developed for AML, mainly because of the complexities associated with this disease. Objective The objective of the current study was to develop a model (based on a UK cohort) to predict cost and life expectancy at a population level. Methods The model developed in this study combined a decision tree with several Markov models to reflect the complexity of the prognostic factors and treatments of AML. The model was simulated with a cycle length of 1 month for a time period of 5 years and further simulated until age 100 years or death. Results were compared for two age groups and five different initial treatment intents and responses. Transition probabilities, life expectancies, and costs were derived from a UK population-based specialist registry - the Haematological Malignancy Research Network (www.hmrn.org). Results Overall, expected 5-year medical costs and life expectancy ranged from 8,170 to 81,636 and 3.03 to 34.74 months, respectively. The economic and health outcomes varied with initial treatment intent, age at diagnosis, trial participation, and study time horizon. The model was validated by using face, internal, and external validation methods. The results show that the model captured more than 90% of the empirical costs, and it demonstrated good fit with the empirical overall survival. Conclusions Costs and life expectancy of AML varied with patient characteristics and initial treatment intent. The robust AML model developed in this study could be used to evaluate new diagnostic tools/treatments, as well as enable policy makers to make informed decisions. © 2014 International Society for Pharmacoeconomics and Outcomes Research (ISPOR). Published by Elsevier Inc.</t>
  </si>
  <si>
    <t>Wehmeyer J, Zaiss M, et al. Onkologie. Conference: Jahrestagung der Deutschen, Osterreichischen und Schweizerischen Gesellschaften fur Hamatologie und Onkologie 2013. Wien Austria. Conference Publication: (var.pagings). 36 (SUPPL. 7) (pp 241), 2013. Date of Publication: October 2013.</t>
  </si>
  <si>
    <t>Onkologie. Conference: Jahrestagung der Deutschen, Osterreichischen und Schweizerischen Gesellschaften fur Hamatologie und Onkologie 2013. Wien Austria. Conference Publication: (var.pagings). 36 (SUPPL. 7) (pp 241), 2013. Date of Publication: October 2013.</t>
  </si>
  <si>
    <t>Introduction: The prognosis of patients with intermediate-2 (Int-2) or high risk MDS is poor with increased risk for transformation to AML. The majority is ineligible for curative stem cell transplantation. For these patients a therapy with azacitidine (AZA) is recommended. AZA significantly prolonged median overall survival and significantly delayed median time to AML transformation compared with conventional care regimens in a large, international phase III trial. Methods: This prospective non-interventional study collects data on the routine treatment of MDS (Int-2 or high risk), AML or CMMoL with AZA. 150 patients were enrolled in 30 German sites and are currently followed up for 2 years. Data on demographics, tumour characteristics, treatment duration and reasons for treatment discontinuation is being collected. The main endpoints are progression free survival (PFS), overall response rate (ORR) and hematological improvement (HI), and safety parameters. Results: At time of this analysis 145 patients with a median follow-up time of 12.4 months were evaluable. 83 (57.2%) were diagnosed with primary MDS 5 (3.4%) with secondary MDS and 57 (39.3%) with AML/ CMMoL. At time of this analysis 87 (60%) patients had completed AZA therapy. Based on treatment duration 3 groups were formed: Short- (ST = AZA &lt; 6 cycles; n = 64), Mid- (MT = AZA 6-12 cycles; n = 62), and Long-term treatment (LT = AZA &gt; 12 cycles; n = 19). Age and other prognostic factors in the three groups were nearly identical, mean IPSS- Score was 2. Median PFS was 10.6 months (95% confidence interval = 9,7-13,1). Median PFS in the ST group was 4.3 months (3.4-6.1), 11.1 months (10.4-13.8) in the MT, and 23.1 months (14.7-n.a.) in the LT group. ORR was 36.6% (LT = 68%, MT = 55%. ST = 9%). Most frequently mentioned reasons for treatment discontinuation in the ST group were death (39%), PD (20%) and toxicity (17%). The most common AEs associated with AZA were blood and lymphatic system disorders (37%), anemia (32%), nausea (18%) and fatigue (17%). Conclusions: AZA is a therapeutic option for patients with Int-2 or high risk MDS. Patients seem to derive prolonged clinical benefit from continuous AZA therapy. As 40% of patients are still under treatment, the absolute effect on PFS is expected to change until final analysis. The high rate of early toxicity-related treatment discontinuation demands optimization of safety management in daily practice.</t>
  </si>
  <si>
    <t>Tracy Westley, Anna Forsythe, Timothy J Bell et al. Blood. Conference: 60th Annual Meeting of the American Society of Hematology, ASH 2018.</t>
  </si>
  <si>
    <t>Tracy Westley, MPH, Anna Forsythe, PharmD, MSc, MBA, Timothy J Bell, Joseph C Cappelleri, PhD, MPH, MS, Geoffrey Chan, MD and Gabriel Tremblay, DBA, MSc, BS</t>
  </si>
  <si>
    <t>BACKGROUND: Older AML patients are often NIC and face poorer prognoses. Among less intensive AML treatments, GLAS+LDAC showed improved efficacy vs LDAC alone in a Phase II randomized controlled trial (RCT). Recently, a phase I/II single arm study of VEN+LDAC showed longer overall survival (OS) in naive comparison to GLAS+LDAC. However, naive comparisons across trials do not account for within-trial efficacy differences from control or different population characteristics. In the absence of clinical trials comparing GLAS+LDAC vs VEN+LDAC, ITC is a more robust approach, and simulated treatment comparison (STC) adjusts for between-trial differences in patient baseline characteristics. In this study, GLAS+LDAC and VEN+LDAC were indirectly compared for survival efficacy using both ITC and STC._x000D_
_x000D_
METHODS: Median OS and proportion of patients alive at 12 months (12-month OS) were compared for GLAS+LDAC vs VEN+LDAC using individual patient-level data (IPD) for GLAS+LDAC (n=116) and published results for VEN+LDAC (n=61). As the VEN+LDAC study lacked a control group, ITC and STC methods followed the unanchored, single-arm comparison as guided by the National Institute of Health and Care Excellence Decision Support Unit. Mean differences (MD) in median OS (months) between treatments were estimated using a modified Bucher ITC approach with 95% confidence intervals (CI). For 12-month OS, significance tests for MDs between treatments were conducted in Stata (MD with 95% CI). While ITC did not adjust for patient characteristics, using STC, GLAS+LDAC IPD were adjusted for VEN+LDAC patient baseline covariates. Full models included mutually reported covariates between trials, adjusting for GLAS+LDAC patients being older, having less denovo AML, higher bone marrow blasts, worse ECOG performance status, poorer cytogenetic risk, and more males compared to VEN+LDAC patients. STC models were estimated both with and without proportional hazards (PH) assumptions, and the best fitting models were applied._x000D_
_x000D_
RESULTS: In the naive comparison, GLAS+LDAC had shorter median OS (8.3 months) vs VEN+LDAC (11.4 months). Similarly, 12-month OS was lower for GLAS+LDAC (39.4%) vs VEN+LDAC (45.9%). ITC found non-significant differences between GLAS+LDAC and VEN+LDAC for median OS [MD=-3.09 (-9.34, 3.17)] and 12-month OS [MD=-0.07 (-0.23, 0.10)], with numeric trends favoring VEN+LDAC (as shown in the Table). With full STC adjustment, PH models showed numeric but not statistical superiority of GLAS+LDAC vs VEN+LDAC for median OS [e.g., Gompertz-derived MD=0.60 (-4.43, 5.62)]. In contrast, full covariate models without the PH assumption estimated numeric but not statistical superiority of VEN+LDAC [e.g., lognormal-derived MD=-0.50 (-5.52, 4.51)]. Stepwise model results reflected full covariate adjustments: PH models numerically favored GLAS+LDAC over VEN+LDAC by about one month [e.g., exponential-derived MD=0.89 (-4.13, 5.90)]. Among models relaxing the PH assumption, the gamma estimate numerically favored GLAS+LDAC over VEN+LDAC [MD=0.39 (-4.63, 5.41)]._x000D_
_x000D_
For 12-month OS, with all STC approaches, differences between GLAS+LDAC and VEN+LDAC were not statistically significant. After full covariate adjustment, slight numeric improvement with GLAS+LDAC vs VEN+LDAC was found for PH models [e.g., Gompertz-derived MD=0.04 (-0.13, 0.21)] and non-PH models [e.g., lognormal-derived MD=0.01 (-0.16, 0.17)]. Stepwise covariate models generated highly similar results (data not shown)._x000D_
_x000D_
CONCLUSIONS: Although GLAS+LDAC and VEN+LDAC have not been directly compared in a clinical trial, ITC and STC approaches found no difference between the two treatments comparing median OS and 12-month OS. Moreover, indirect approaches may introduce less bias than naive comparisons, as methods can include statistical testing of differences and adjusting for population baseline differences. Standard ITC, which account for within-trial improvements from placebo could not be performed due to the single-arm design of the VEN+LDAC study. Furthermore, single-arm, open-label trials such as the VEN+LDAC study may overestimate treatment effectiveness, and GLAS+LDAC estimates originated from a robustly conducted RCT. As there was no evidence of statistical differences between treatments, health care stakeholders should continue to prioritize RCT evidence generation and minimize inferences from naive comparisons.</t>
  </si>
  <si>
    <t>Wex J, Mesana L. Accounting for drug wastage in haematology-oncology treatments: review of clinical practice and recent technology appraisals in England. Value in Health. 2018 May 19-23</t>
  </si>
  <si>
    <t>Wex J, Mesana L</t>
  </si>
  <si>
    <t>Value in Health 2018 May 19-23</t>
  </si>
  <si>
    <r>
      <t xml:space="preserve">OBJECTIVES: To identify components of drug wastage relevant in clinical practice and accounting for them in recent health technology appraisals of haematology-oncology treatments in England. PubMed was systematically searched for evidence on any aspect of drug wastage relevant to haematology-oncology clinical practice. Data on individual components of drug wastage and measures adopted for waste reduction were identified. NICE technology appraisal guidance documents, including company submissions and Evidence Review Group (ERG) reports, published, in consultation or in development in 2017, for the treatment of </t>
    </r>
    <r>
      <rPr>
        <b/>
        <sz val="12"/>
        <color indexed="8"/>
        <rFont val="Helvetica"/>
        <family val="2"/>
      </rPr>
      <t>leukaemia, lymphoma and myeloma</t>
    </r>
    <r>
      <rPr>
        <sz val="12"/>
        <color indexed="8"/>
        <rFont val="Helvetica"/>
        <family val="2"/>
      </rPr>
      <t xml:space="preserve"> were reviewed for inclusion of drug wastage components. RESULTS: The 160 identified publications addressed the following drug wastage components: unused drugs in vials/ampoules, dead-space syringes, early discontinuation, non-compliance or death, non-extractable amount, wastage due to reconstitution, limited drug stability, and spillage. The following waste reduction measures were identified: vial sharing, scheduling/grouping/batching of patients, drug use and stability surveillance, dose rounding, dose banding, multi-dose devices/vials/cartridges, overlapping prescription fills, split-fills/instalment dispensing, drug overage in vials, increased range of vial sizes, recycling of unused drug, extension of drug expiration date, use of low dead space syringes. Some components were treatment specific. Of the 10 identified blood cancer appraisals, full wastage was reported in base case of 5 submissions, no wastage in 3. Two submissions did not report drug wastage. The ERG critiqued one full wastage assumption. No base cases considered partial wastage. Vial sharing was assumed in scenario analyses of 3 submissions. CONCLUSIONS: Individual components and magnitude of drug wastage vary in clinical practice, but they are rarely accounted for in health technology assessment, with only either full or no wastage considered. The former might overestimate treatment cost, while the latter would underestimate it. Precise treatment cost estimation requires accounting for individual components specific to treatments and the setting in which care is delivered. </t>
    </r>
  </si>
  <si>
    <t>Kenealy M, Hertzberg M, Benson W et al. Decitabine improves response rate and prolongs progression-free survival in older patients with newly diagnosed acute myeloid leukemia and with monosomal karyotype: A subgroup analysis of the DACO-016 trial. American Journal of Hematology. 93(5):E125-E127, 2018 05.</t>
  </si>
  <si>
    <t xml:space="preserve">Wierzbowska A
Wawrzyniak E
Pluta A
Robak T
Mazur GJ
Dmoszynska A
Cermak J
Oriol A
Lysak D
Arthur C
Doyle M
Xiu L
Ravandi F
Kantarjian HM
</t>
  </si>
  <si>
    <t>American Journal of Hematology. 93(5):E125-E127, 2018 05.</t>
  </si>
  <si>
    <t>Williams_Blood_2013 (abstract)</t>
  </si>
  <si>
    <t>Williams LA, Ault PS, Kantarjian HM, Garcia-Manero G, Quintas-Cardama A, Borthakur G, Faderl SH, Jabbour EJ, Cleeland CS, Cortes JE. Symptom burden in acute myeloid leukemia (AML) and myelodysplastic syndrome (MDS). Blood. 2013 Oct 21;122(21).</t>
  </si>
  <si>
    <t>Williams L.A.
Ault P.S.
Kantarjian H.M.
Garcia-Manero G.
Quintas-Cardama A.
Borthakur G.
Faderl S.H.
Jabbour E.J.
Cleeland C.S.
Cortes J.E.</t>
  </si>
  <si>
    <t>Blood. Conference: 55th Annual Meeting of the American Society of Hematology, ASH 2013. New Orleans, LA United States. Conference Start: 20131207. Conference End: 20131210. Conference Publication: (var.pagings). 122 (21) (no pagination), 2013. Date of Publication: 21 Oct 2013.</t>
  </si>
  <si>
    <t>Objective Symptom burden is the combined impact of symptoms from disease and treatment on daily functioning. Lack of symptom recognition may result in failure to address symptoms and maximize patient functioning. Patient-reported outcomes (PROs) can be endpoints in clinical trials to establish treatment benefits. The purpose of this study was to define the content domain for a PRO measure of acute myeloid leukemia (AML) and myelodysplastic syndrome (MDS) symptom burden. Materials and Methods This is Part 1 of a study to develop a PRO AML/MDS symptom-burden measure. Patients with AML and MDS described symptoms over their disease courses in single qualitative interviews. Content analysis was used to identify symptoms and define the content domain for a PRO measure. After the interview, patients rated the worst severity of 13 common cancer-related symptoms in the last 24 hours on the M. D. Anderson Symptom Inventory (MDASI) to provide context for analysis. Results Thirty patients participated in an interview (see Table 1). Content analysis found a total of 39 symptoms, 14 reported by 20% or more patients, occurring over the disease course. Fatigue and distress (followed by pain) was the symptom reported most often. The mean number of symptoms reported by patients with AML (5.46; sd = 2.83) and by patients with MDS (7.33; sd=4.18) was not significantly different. Proportionately patients with MDS reported more fatigue, disturbed sleep, drowsiness, shortness of breath, headache, and sadness but less pain and numbness/tingling than AML patients. Both groups of patients described symptom interference with day-to-day activities. On the MDASI, fatigue (followed by distress and disturbed sleep) was the symptom reported most often in the last 24 hours. Fatigue had the highest mean severity rating (3.37, sd = 3.36, 0-10 scale) on the MDASI. Conclusions Patients with AML and MDS experience numerous symptoms related to disease and treatment, with fatigue and distress being the most prominent throughout the disease course. Qualitatively, the symptom burden experienced by the two groups of patients is similar. These symptoms can cause significant interference with daily activities. Accurate assessment and management of symptoms is critical to ensure optimal treatment with the best quality of life. The content domain for a PRO symptom-burden measure of AML and MDS encompasses the severity and activity interference of common symptoms of AML and MDS and its treatment. (Table Presented).</t>
  </si>
  <si>
    <t>Zeidan A, Cavenagh J, Voso M, Taussig D, Tormo M, Boss I, Copeland W, Gray V, Previtali A, O'Connor T, Rose S, Beach CL, Silverman L. Blood. Conference: 61th Annual Meeting of the American Society of Hematology, ASH 2019.</t>
  </si>
  <si>
    <t xml:space="preserve">Amer M. Zeidan, MBBS, MHS1, James Cavenagh2, Maria Teresa Voso3*, David Taussig4*, Mar Tormo5, Isaac Boss6*, Wilbert B. Copeland6*, Vanessa E. Gray6*, Alessandro Previtali7*, Tim O'Connor8*, Shelonitda Rose9, CL Beach, PharmD9 and Lewis R. Silverman10
</t>
  </si>
  <si>
    <t>Background: Loss of immune surveillance, mediated through immune checkpoint (ICP) interactions, is thought to be a key step in the development of cancers including AML and HR-MDS. AZA is a standard therapy for pts with AML who are unfit for IC and for pts with HR-MDS. AZA can promote immune recognition of tumor cells and potentially increase expression of ICP molecules, which can mediate resistance to AZA. As myeloid cell lines and samples from pts treated with hypomethylating agents demonstrated up-regulation of PD-L1 expression, blockade of the PD-L1 ICP with durva in combination with AZA may enhance antitumor activity and improve clinical outcomes. Here, we report the final results from a large phase 2 study evaluating the efficacy and safety of AZA+durva vs. AZA alone in pts with HR-MDS or AML (NCT02775903).
Methods: This randomized, open-label, international, multicenter study enrolled untreated pts in 2 cohorts: 1) MDS (aged 18 years; IPSS-R intermediate, high, and very high) and 2) older AML pts (aged 65 years) who were ineligible for IC. All pts had ECOG performance status 02 and were separately randomized (1:1) to receive SC AZA 75 mg/m2 Days 17 and durva 1500 mg IV on Day 1 Q4W (Arm A) or AZA alone (Arm B) and stratified according to cytogenetic risk (MDS, very good/good/intermediate vs. poor/very poor; AML, intermediate vs. poor). Treatment was planned to continue until progression or unacceptable toxicity. Disease status was evaluated every third treatment cycle. Primary MDS endpoints included overall response rate (ORR, defined as complete remission [CR], marrow [m]CR, partial response [PR], or hematologic improvement [HI]) based on IWG 2006 response criteria, while for AML ORR was defined as CR or CR with incomplete blood recovery (CRi) based on modified IWG 2003 response criteria. Secondary endpoints included PFS, OS, and safety. Peripheral blood samples were collected to assess changes in DNA methylation using the EPIC methylation array (Illumina). Bone marrow (BM) aspirates were obtained for quantitation of PD-L1 surface expression by flow cytometry and values are reported as molecules of equivalent soluble fluorochrome.
Results: A total of 213 pts, 84 with MDS (each arm, n=42) and 129 with AML (Arm A, n=64; Arm B, n=65) were randomized. As of October 31, 2018, 32 pts (MDS, n=14; AML, n=18) continued to receive trial treatment while 181 (MDS, n=70; AML, n=111) had discontinued. Baseline demographics and disease characteristics were generally balanced across treatment groups in both cohorts. Median number of treatment cycles for AML Arm A vs. B, 6.5 vs. 6.7; for MDS Arm A vs. B, 7.9 vs. 7.0. No statistically significant differences in ORR between treatment arms were observed in either cohort (Tables 1 and 2). In MDS Arm A vs. B, median OS was 11.6 vs. 16.7 months (mo) and PFS was 8.7 vs. 8.6 mo. In the AML cohort, median OS was 13.0 vs. 14.4 mo and PFS was 8.1 vs. 7.2 mo. Caution should be used when interpreting results because &gt;50% of patients were censored. The most frequent TEAEs (15%) were hematologic and GI toxicity. In the MDS and AML cohorts, 7 and 17, respectively, immune-mediated AEs were observed; all were treated and resolved. AZA induced similar trends in global hypomethylation, along with focal hypomethylation of PD-L1 and PD-L2 gene loci, at the end of treatment cycle 1 in all treatment groups and cohorts. Mean PD-L1 surface expression in BM immune cells at baseline was highest in monocytes (MDS=1,425; AML=1,536), followed by granulocytes (MDS=550; AML=758) and myeloid blasts (MDS=532; AML=735). Increased surface expression of PD-L1, but not PD-L2, was observed at the end of treatment cycle 3 on BM granulocytes and monocytes from MDS pts and on BM monocytes from AML pts, but no increase was detected on myeloid blasts.
Conclusions: To our knowledge, this is the first large randomized trial of AZA with or without ICP blockade in older unfit AML and HR-MDS pts reported to date. No clinically meaningful difference in efficacy was observed between treatments for either cohort. No new safety signals or potential overlapping risks were identified with the combination. While the hypomethylating activity of AZA on PD-L1 gene was confirmed, no treatment-mediated induction of PD-L1 surface expression was observed on myeloid blasts.</t>
  </si>
  <si>
    <t>Zeidan AM, Mahmoud D, Kucmin-Bemelmans IT, Alleman CJM, Hensen M, Skikne B, Douglas Smith B. Economic burden associated with acute myeloid leukemia treatment. Expert Review of Hematology. 2016 Jan 01;E9(1):79-89.</t>
  </si>
  <si>
    <t>Zeidan A.M.
Mahmoud D.
Kucmin-Bemelmans I.T.
Alleman C.J.M.
Hensen M.
Skikne B.
Douglas Smith B.</t>
  </si>
  <si>
    <t>Expert Review of Hematology. 9 (1) (pp 79-89), 2016. Date of Publication: 01 Jan 2016.</t>
  </si>
  <si>
    <t>The economic burden associated with acute myeloid leukemia (AML) is poorly defined and understudied. The goal of this study is estimate the direct cost of illness for AML in the United States (US) and the United Kingdom (UK), by conducting a comprehensive literature review and calculating the average direct cost-of-illness per patient for the first 6 months of therapy. Patients were grouped by therapy: intensive chemotherapy alone; induction chemotherapy followed by allogeneic stem cell transplantation (alloSCT); low intensity therapy; and best supportive care. Data suggest that the pathways alloSCT, followed by intensive chemotherapy, are associated with the highest direct costs. Calculated direct costs suggest that they are higher in the US ($14,014 for BSC-only to $352,682 for alloSCT) than in the UK (f3708 [$5837] for BSC-only to f112,545 [$177,187]). AML appears to be associated with significant direct economic costs, but more studies are needed to fully assess the economic impact especially in relation to total and indirect costs.
Copyright © 2015 Taylor &amp; Francis.</t>
  </si>
  <si>
    <t>Zwierzina H, Suciu S, Loeffler-Ragg J, Neuwirtova R, Fenaux P, Beksac M, Harousseau J, Nuessler V, Cermak J, Solbu G, Willemze R, de Witte T, Amadori S, EORTC Leukemia Cooperative Group. Low-dose cytosine arabinoside (LD-AraC) vs LD-AraC plus granulocyte/macrophage colony stimulating factor vs LD-AraC plus Interleukin-3 for myelodysplastic syndrome patients with a high risk of developing acute leukemia: final results of a randomized phase III study (06903) of the EORTC Leukemia Cooperative Group. Leukemia. 2005 Nov;19(11):1929-33.</t>
  </si>
  <si>
    <t>Zwierzina H, Suciu S, Loeffler-Ragg J, Neuwirtova R, Fenaux P, Beksac M, Harousseau J, Nuessler V, Cermak J, Solbu G, Willemze R, de Witte T, Amadori S, EORTC Leukemia Cooperative Group</t>
  </si>
  <si>
    <t>Leukemia.  19(11):1929-33, 2005 Nov.</t>
  </si>
  <si>
    <t>In this randomized phase III study of the EORTC Leukemia Cooperative Group, patients with myelodysplastic syndromes (MDS) with 10-30% bone marrow blasts and hematopoietic failure were treated with low-dose cytosine arabinoside (LD-AraC) (2 x 10 mg/m2/day subcutaneously (s.c.) days 1-14) either alone or in combination with rhGM-CSF or interleukin-3 (IL-3) both given s.c. at a dose of 150 microg/day from day 8 to 21. A total of 180 evaluable patients with a median age of 65 years and refractory anemia with an excess of blasts (RAEB, n = 107) or RAEB in transformation (RAEBt, n = 73) were randomized. There were no differences among the three treatment regimens with respect to numbers of courses applied or treatment delays. Hemorrhage occurred in approximately 40% in all arms, whereas infection rates were higher in the granulocyte/macrophage colony stimulating factor (GM-CSF)- or IL3-containing arm. The overall response rate was 38.6% with no statistically significant difference among the three arms. In summary, a substantial proportion of patients had achieved relatively durable responses in all the three arms. No influence of either growth factor was detected on the grade of cytopenia. Thus, the combination of LD-AraC with GM-CSF or IL-3 cannot be recommended for routine use in a high-risk MDS population.</t>
  </si>
  <si>
    <t>CLIN, ECON</t>
  </si>
  <si>
    <t>CLIN, QOL</t>
  </si>
  <si>
    <t>Minden_Haema_2015 (abstract)</t>
  </si>
  <si>
    <t>Mokgokong_BJH_2019 (abstract)</t>
  </si>
  <si>
    <t>Aggarwal_VH_2018 (abstract)</t>
  </si>
  <si>
    <t>Capodanno I.
Avanzini P.
Merli F.</t>
  </si>
  <si>
    <t>Chung_VH_2018 (abstract)</t>
  </si>
  <si>
    <t>Forsythe_VH_2017 (abstract)</t>
  </si>
  <si>
    <t>Gallagher_VH_2019 (abstract)</t>
  </si>
  <si>
    <t>Hagiwara_VH_2018 (abstract)</t>
  </si>
  <si>
    <t>Janssen_VH_2018 (abstract)</t>
  </si>
  <si>
    <t>Kwon_Blood_2019 (abstract)</t>
  </si>
  <si>
    <t>Prange-Krex G.
Reichert D.
Lollert A.
Bruch H.R.
Tessen H.-W.
Ferenczy P.
Weiligmann C.
Steudel C.
Platzbecker U.</t>
  </si>
  <si>
    <t>Wehmeyer J.
Zaiss M.
Losem C.
Schmitz S.
Teichmann B.
Harde J.
Hasskarl J.</t>
  </si>
  <si>
    <t>Zeidan_Blood_2019 (abstract)</t>
  </si>
  <si>
    <t>Oakes_VH_2018 (abstract)</t>
  </si>
  <si>
    <t>Tremblay_VH_2018 (abstract)</t>
  </si>
  <si>
    <t>Tremblay_VH_2018 b (abstract)</t>
  </si>
  <si>
    <t>Villeneuve_VH_2018 (abstract)</t>
  </si>
  <si>
    <t>Wex_VH_2018 (abstract)</t>
  </si>
  <si>
    <t>Capodanno_Hematologica_2011 (abstract)</t>
  </si>
  <si>
    <t>Cortes_Haema_2018 (abstract)</t>
  </si>
  <si>
    <t>Deschler_Haematologica_2013</t>
  </si>
  <si>
    <t>Liu_Blood_2012 (abstract)</t>
  </si>
  <si>
    <t>Medeiros_Blood_2017 (Abstract)</t>
  </si>
  <si>
    <t>Montalban-Bravo_Blood_2016 (abstract)</t>
  </si>
  <si>
    <t>Other Safety Data (per arm)</t>
  </si>
  <si>
    <t>Other Response Data (per arm)</t>
  </si>
  <si>
    <t>OS % Alive (per arm)</t>
  </si>
  <si>
    <t>OS At-Month (per arm)</t>
  </si>
  <si>
    <t>CEA - Summary of Results</t>
  </si>
  <si>
    <t>CEA - Cost Type and Source</t>
  </si>
  <si>
    <t>Article Identifier</t>
  </si>
  <si>
    <t>Interventional Study Characteristics</t>
  </si>
  <si>
    <t>Interventional Only</t>
  </si>
  <si>
    <t>CEA Parameters</t>
  </si>
  <si>
    <t>Non-CEA Parameters</t>
  </si>
  <si>
    <t>Trial Identifier</t>
  </si>
  <si>
    <t>URL list</t>
  </si>
  <si>
    <t>Male N (per arm)</t>
  </si>
  <si>
    <t>Male N (overall)</t>
  </si>
  <si>
    <t>OS Month (per arm)</t>
  </si>
  <si>
    <t>Other Survival Data (per arm)</t>
  </si>
  <si>
    <t>ORR N (per arm)</t>
  </si>
  <si>
    <t>CR N (per arm)</t>
  </si>
  <si>
    <t>PR N (per arm)</t>
  </si>
  <si>
    <t>Grade 3-4 AEs N (per arm)</t>
  </si>
  <si>
    <t>Grade 3-4 AEs lead to D/C N (per arm)</t>
  </si>
  <si>
    <t>SAEs N (per arm)</t>
  </si>
  <si>
    <t>Is Validation Study?</t>
  </si>
  <si>
    <t>Reported Utility Value?</t>
  </si>
  <si>
    <t>Year</t>
  </si>
  <si>
    <t>Country</t>
  </si>
  <si>
    <t>CEA - Clinical Data Source</t>
  </si>
  <si>
    <t>Non-CEA - Cost Type and Source</t>
  </si>
  <si>
    <t>Interventional Study Design</t>
  </si>
  <si>
    <t>Economic Study Design</t>
  </si>
  <si>
    <t>Economic Only</t>
  </si>
  <si>
    <t>Economic Study Characteristics</t>
  </si>
  <si>
    <t>Quality of Life Only</t>
  </si>
  <si>
    <t>Quality of Life Study Characteristics</t>
  </si>
  <si>
    <t>Quality of Life Study Design</t>
  </si>
  <si>
    <t>Reported Utility Value? [Econ]</t>
  </si>
  <si>
    <t>Publication Type</t>
  </si>
  <si>
    <t>Sub-population</t>
  </si>
  <si>
    <t>ORR 95% CI</t>
  </si>
  <si>
    <t>CR 95% CI</t>
  </si>
  <si>
    <t>PR 95% CI</t>
  </si>
  <si>
    <t>Interventional</t>
  </si>
  <si>
    <t>TROPIC
NCT00417079</t>
  </si>
  <si>
    <t>AFFINITY
NCT01578655</t>
  </si>
  <si>
    <t>Phase III study of cabozantinib in previously treated metastatic castration-resistant prostate cancer: COMET-1</t>
  </si>
  <si>
    <t xml:space="preserve"> Purpose Cabozantinib is an inhibitor of kinases, including MET and vascular endothelial growth factor receptors, and has shown activity in men with previously treated metastatic castration-resistant prostate cancer (mCRPC). This blinded phase III trial compared cabozantinib with prednisone in patients with mCRPC. Patients and Methods Men with progressive mCRPC after docetaxel and abiraterone and/or enzalutamide were randomly assigned at a two-to-one ratio to cabozantinib 60 mg once per day or prednisone 5 mg twice per day. The primary end point was overall survival (OS). Bone scan response (BSR) at week 12 as assessed by independent review committee was the secondary end point; radiographic progression-free survival (rPFS) and effects on circulating tumor cells (CTCs), bone biomarkers, serum prostatespecific antigen (PSA), and symptomatic skeletal events (SSEs) were exploratory assessments. Results A total of 1,028 patients were randomly assigned to cabozantinib (n = 682) or prednisone (n = 346). Median OS was 11.0 months with cabozantinib and 9.8 months with prednisone (hazard ratio, 0.90; 95% CI, 0.76 to 1.06; stratified log-rank P = .213). BSR at week 12 favored cabozantinib (42% v 3%; stratified Cochran-Mantel-Haenszel P , .001). rPFS was improved in the cabozantinib group (median, 5.6 v 2.8 months; hazard ratio, 0.48; 95% CI, 0.40 to 0.57; stratified log-rank P , .001). Cabozantinib was associated with improvements in CTC conversion, bone biomarkers, and post-random assignment incidence of SSEs but not PSA outcomes. Grade 3 to 4 adverse events and discontinuations because of adverse events were higher with cabozantinib than with prednisone (71% v 56% and 33% v 12%, respectively). Conclusion Cabozantinib did not significantly improve OS compared with prednisone in heavily treated patients with mCRPC and progressive disease after docetaxel and abiraterone and/or enzalutamide. Cabozantinib had some activity in improving BSR, rPFS, SSEs, CTC conversions, and bone biomarkers but not PSA outcomes.</t>
  </si>
  <si>
    <t>COMET-1
NCT01605227</t>
  </si>
  <si>
    <t>Abiraterone acetate for metastatic castration-resistant prostate cancer after docetaxel failure: A randomized, double-blind, placebo-controlled phase 3 bridging study</t>
  </si>
  <si>
    <t>Objectives: To evaluate the efficacy and safety of abiraterone acetate-prednisone versus placebo-prednisone in Asian metastatic castration-resistant prostate cancer patients who have failed docetaxel-based chemotherapy. Methods: In this double-blind, phase 3 study from China, 214 patients were randomized (2:1) to abiraterone acetate 1000 mg once daily plus prednisone 5 mg twice daily and placebo plus prednisone 5 mg twice daily in 28-day treatment cycles. Results: Abiraterone acetate-prednisone treatment significantly decreased prostate-specific antigen progression risk by 49%, with longer median time to prostate-specific antigen progression of 5.55 months versus 2.76 months in the placebo-prednisone group (hazard ratio 0.506, P = 0.0001, primary end-point). There was a strong trend for improved overall survival in the abiraterone acetate-prednisone group, with a 40% decrease in the risk of death (hazard ratio 0.604, P = 0.0597); however, median survival was not reached in either group because of the short follow-up period (12.9 months) and limited number of observed death events. The prostate-specific antigen response rate was higher in the abiraterone-prednisone group (49.7%) than in the placebo-prednisone group (14.1%). A total of 37.1% patients in this group had pain progression events compared with 50.7% in the placebo-prednisone group. Abiraterone-prednisone significantly decreased the risk of pain progression by 50% (hazard ratio 0.496, P = 0.0014). The incidence of adverse events was similar between the two groups; the most common adverse events being anemia (25.9% for abiraterone-prednisone vs 22.5% for placebo-prednisone), hypokalemia (25.9% and 11.3%), bone pain (23.8% and 21.1%), hypertension (16.1% and 12.7%) and increased aspartate aminotransferase (14.7% and 15.5%), respectively. Conclusions: Abiraterone-prednisone significantly delays disease and pain progression, and prostate-specific antigen, with a favorable benefit-risk ratio in Asian metastatic castration-resistant prostate cancer patients in the post-docetaxel setting.</t>
  </si>
  <si>
    <t>Phase III, randomized, double-blind, multicenter trial comparing orteronel (TAK-700) plus prednisone with placebo plus prednisone in patients with metastatic castration-resistant prostate cancer that has progressed during or after docetaxel-based therapy</t>
  </si>
  <si>
    <t>Purpose: Orteronel (TAK-700) is an investigational, nonsteroidal, reversible, selective 17,20-lyase inhibitor. This study examined orteronel in patients with metastatic castration-resistant prostate cancer that progressed after docetaxel therapy. Patients and Methods: In our study, 1,099 men were randomly assigned in a 2:1 schedule to receive orteronel 400 mg plus prednisone 5 mg twice daily or placebo plus prednisone 5 mg twice daily, stratified by region (Europe, North America [NA], and non-Europe/NA) and Brief Pain Inventory-Short Form worst pain score. Primary end point was overall survival (OS). Key secondary end points (radiographic progression-free survival [rPFS], = 50% decrease of prostate-specific antigen [PSA50], and pain response at 12 weeks) were to undergo statistical testing only if the primary end point analysis was significant. Results: The study was unblinded after crossing a prespecified OS futility boundary. The median OS was 17.0 months versus 15.2 months with orteronel-prednisone versus placebo-prednisone (hazard ratio [HR], 0.886; 95% CI, 0.739 to 1.062; P = .190). Improved rPFS was observed with orteronel-prednisone (median, 8.3 v 5.7 months; HR, 0.760; 95% CI, 0.653 to 0.885; P &lt; .001). Orteronel-prednisone showed advantages over placebo-prednisone in PSA50 rate (25% v 10%, P &lt; .001) and time to PSA progression (median, 5.5 v 2.9 months, P &lt; .001) but not pain response rate (12% v 9%; P = .128). Adverse events (all grades) were generally more frequent with orteronel-prednisone, including nausea (42% v 26%), vomiting (36% v 17%), fatigue (29% v 23%), and increased amylase (14% v 2%). Conclusion: Our study did not meet the primary end point of OS. Longer rPFS and a higher PSA50 rate with orteronel-prednisone indicate antitumor activity.</t>
  </si>
  <si>
    <t>ELM-PC 5
NCT01193257</t>
  </si>
  <si>
    <t>Pain palliation as an oncology label indication: Lessons learned in custirsen phase III development</t>
  </si>
  <si>
    <t>Randomized, placebo-controlled, phase III trial of sunitinib plus prednisone versus prednisone alone in progressive, metastatic, castration-resistant prostate cancer</t>
  </si>
  <si>
    <t>ALSYMPCA
NCT00699751</t>
  </si>
  <si>
    <t>COU-AA-301
NCT00638690</t>
  </si>
  <si>
    <t>Increased survival with enzalutamide in prostate cancer after chemotherapy</t>
  </si>
  <si>
    <t>BACKGROUND: Enzalutamide (formerly called MDV3100) targets multiple steps in the androgen-receptor-signaling pathway, the major driver of prostate-cancer growth. We aimed to evaluate whether enzalutamide prolongs survival in men with castration-resistant prostate cancer after chemotherapy. METHODS: In our phase 3, double-blind, placebo-controlled trial, we stratified 1199 men with castration-resistant prostate cancer after chemotherapy according to the Eastern Cooperative Oncology Group performance-status score and pain intensity. We randomly assigned them, in a 2:1 ratio, to receive oral enzalutamide at a dose of 160 mg per day (800 patients) or placebo (399 patients). The primary end point was overall survival. RESULTS: The study was stopped after a planned interim analysis at the time of 520 deaths. The median overall survival was 18.4 months (95% confidence interval [CI], 17.3 to not yet reached) in the enzalutamide group versus 13.6 months (95% CI, 11.3 to 15.8) in the placebo group (hazard ratio for death in the enzalutamide group, 0.63; 95% CI, 0.53 to 0.75; P&lt;0.001). The superiority of enzalutamide over placebo was shown with respect to all secondary end points: the proportion of patients with a reduction in the prostate-specific antigen (PSA) level by 50% or more (54% vs. 2%, P&lt;0.001), the soft-tissue response rate (29% vs. 4%, P&lt;0.001), the quality-of-life response rate (43% vs. 18%, P&lt;0.001), the time to PSA progression (8.3 vs. 3.0 months; hazard ratio, 0.25; P&lt;0.001), radiographic progression-free survival (8.3 vs. 2.9 months; hazard ratio, 0.40; P&lt;0.001), and the time to the first skeletal-related event (16.7 vs. 13.3 months; hazard ratio, 0.69; P&lt;0.001). Rates of fatigue, diarrhea, and hot flashes were higher in the enzalutamide group. Seizures were reported in five patients (0.6%) receiving enzalutamide. CONCLUSIONS: Enzalutamide significantly prolonged the survival of men with metastatic castration-resistant prostate cancer after chemotherapy. (Funded by Medivation and Astellas Pharma Global Development; AFFIRM ClinicalTrials.gov number, NCT00974311.).</t>
  </si>
  <si>
    <t>AFFIRM
NCT00974311</t>
  </si>
  <si>
    <t>Sipuleucel-T Immunotherapy for Castration-Resistant Prostate Cancer</t>
  </si>
  <si>
    <t>IMPACT
NCT00261456</t>
  </si>
  <si>
    <t>Beer_LO_2017</t>
  </si>
  <si>
    <t>Beer, TM</t>
  </si>
  <si>
    <t>Smith_JCO_2016</t>
  </si>
  <si>
    <t>Sun, Y</t>
  </si>
  <si>
    <t>Smith, M</t>
  </si>
  <si>
    <t>Fizazi_JCO_2015</t>
  </si>
  <si>
    <t>Fizazi, K</t>
  </si>
  <si>
    <t>Beer_JCO_2014 (abstract)</t>
  </si>
  <si>
    <t>Michaelson_JCO_2014</t>
  </si>
  <si>
    <t>Michaelson, MD</t>
  </si>
  <si>
    <t>Hoskin_LO_2014</t>
  </si>
  <si>
    <t>Hoskin, P</t>
  </si>
  <si>
    <t>Kantoff, PW</t>
  </si>
  <si>
    <t>Cabozantinib Versus Mitoxantrone-prednisone in Symptomatic Metastatic Castration-resistant Prostate Cancer: A Randomized Phase 3 Trial with a Primary Pain Endpoint</t>
  </si>
  <si>
    <t>Basch, EM</t>
  </si>
  <si>
    <t>Background: Bone metastases in patients with metastatic castration-resistant prostate cancer (mCRPC) are associated with debilitating pain and functional compromise. Objective: To compare pain palliation as the primary endpoint for cabozantinib versus mitoxantrone-prednisone in men with mCRPC and symptomatic bone metastases using patient-reported outcome measures. Design, setting, and participants: A randomized, double-blind phase 3 trial (COMET-2; NCT01522443) in men with mCRPC and narcotic-dependent pain from bone metastases who had progressed after treatment with docetaxel and either abiraterone or enzalutamide. Intervention: Cabozantinib 60 mg once daily orally versus mitoxantrone 12 mg/m2 every 3 wk plus prednisone 5 mg twice daily orally. Outcome measurements and statistical analysis: The primary endpoint was pain response at week 6 confirmed at week 12 (=30% decrease from baseline in patient-reported average daily worst pain score via the Brief Pain Inventory without increased narcotic use). The planned sample size was 246 to achieve =90% power. Results and limitations: Enrollment was terminated early because cabozantinib did not demonstrate a survival benefit in the companion COMET-1 trial. At study closure, 119 participants were randomized (cabozantinib: N = 61; mitoxantrone-prednisone: N = 58). Complete pain and narcotic use data were available at baseline, week 6, and week 12 for 73/106 (69%) patients. There was no significant difference in the pain response with cabozantinib versus mitoxantrone-prednisone: the proportions of responders were 15% versus 17%, a -2% difference (95% confidence interval: -16% to 11%, p = 0.8). Barriers to accrual included pretreatment requirements for a washout period of prior anticancer therapy and a narcotic optimization period to maximize analgesic dosing. Conclusions: Cabozantinib treatment did not demonstrate better pain palliation than mitoxantrone-prednisone in heavily pretreated patients with mCRPC and symptomatic bone metastases. Future pain-palliation trials should incorporate briefer timelines from enrollment to treatment initiation. Patient summary: Cabozantinib was not better than mitoxantrone-prednisone for pain relief in patients with castration-resistant prostate cancer and debilitating pain from bone metastases. Control of debilitating pain is an unmet need for men with metastatic castration-resistant prostate cancer (mCRPC). This phase 3 trial failed to show an improved pain response for cabozantinib compared with mitoxantrone-prednisone in patients with previously treated, symptomatic mCRPC.</t>
  </si>
  <si>
    <t>COMET-2
NCT01522443</t>
  </si>
  <si>
    <t>Basch_EU_2019</t>
  </si>
  <si>
    <t>Kantoff_NEJM_2010</t>
  </si>
  <si>
    <t>Authors concluded that abiraterone-prednisone significantly delays disease and pain progression, and prostate-specific antigen, with a favorable benefit–risk ratio in Asian metastatic castration-resistant prostate cancer patients in the post-docetaxel setting.</t>
  </si>
  <si>
    <t>NCT00436839</t>
  </si>
  <si>
    <t>NCT01083615</t>
  </si>
  <si>
    <t>NCT00676650</t>
  </si>
  <si>
    <t>Phase 3 RCT</t>
  </si>
  <si>
    <t>Cabozantinib + Placebo</t>
  </si>
  <si>
    <t>Mitoxantrone + Prednisone + Placebo</t>
  </si>
  <si>
    <t>Cabazitaxel + Prednisone + Custirsen</t>
  </si>
  <si>
    <t>Cabazitaxel + Prednisone</t>
  </si>
  <si>
    <t>Prednisone + Placebo</t>
  </si>
  <si>
    <t>Abiraterone + Prednisone</t>
  </si>
  <si>
    <t>Placebo + Prednisone</t>
  </si>
  <si>
    <t>Orteronel + Prednisone</t>
  </si>
  <si>
    <t>Docetaxel + Prednisone</t>
  </si>
  <si>
    <t>Mitoxantrone + Prednisone</t>
  </si>
  <si>
    <t>Docetaxel +  Cabazitaxel + Prednisone + Custirsen</t>
  </si>
  <si>
    <t>Docetaxel +  Cabazitaxel + Prednisone + Placebo</t>
  </si>
  <si>
    <t>Sunitinib + Prednisone</t>
  </si>
  <si>
    <t>Enzalutamide</t>
  </si>
  <si>
    <t>Placebo</t>
  </si>
  <si>
    <t>Sipuleucel-T</t>
  </si>
  <si>
    <t>Study N - Screened (per arm)</t>
  </si>
  <si>
    <t>Study N - randomized/included (per arm)</t>
  </si>
  <si>
    <t>Study N - Completed (per arm)</t>
  </si>
  <si>
    <t>4 (From NCT)</t>
  </si>
  <si>
    <t>0 (From NCT)</t>
  </si>
  <si>
    <t>921 (Patients who received previous docetaxel treatment were 352 in the radium 223 + BSC group and 174 in the placebo + BSC group)</t>
  </si>
  <si>
    <t>534 (From NCT)</t>
  </si>
  <si>
    <t>159 (From NCT)</t>
  </si>
  <si>
    <t>List of outcomes measured</t>
  </si>
  <si>
    <t xml:space="preserve">Rate of pain response*,OS and bone scan response, PFS, rate of skeletal-related events  and safety </t>
  </si>
  <si>
    <t>OS*, BSR (Bone scan response),rPFS(Radiographic PFS),CTCs (Circulating tumour cells), bone biomarkers, circulating PSA (post specfic antigen), and symptomatic skeletal events (SSEs) and Safety</t>
  </si>
  <si>
    <t>Time to prostate specific antigen progression*, Overall survival, PSA response, Objective response rate, Pain, Scores for quality of life (FACT-P) and fatigue assessment by BFI instrument, Adverse events</t>
  </si>
  <si>
    <t>Overall survival, radiographic progression-free survival (rPFS), PSA ≥ 50% decrease (PSA50) at 12 weeks, and pain response at 12 weeks; RECIST 1.1, time to PSA progression, duration of pain response, time to pain progression, and safety.</t>
  </si>
  <si>
    <t>12-week or more durable pain palliation (dPP)*, overall survival (OS), serious adverse events (AEs) and ≥Grade 3 AEs</t>
  </si>
  <si>
    <t xml:space="preserve">OS*, PFS, ORR and safety </t>
  </si>
  <si>
    <t>Overall survival*, Time to the first symptomatic skeletal event, Time to an increase in the total alkaline phosphatase level, Total alkaline phosphatase response, Normalization of the total alkaline phosphatase level, Time to an increase in the PSA level, Disease-related events, Changes in PSA, Changes in total Alkaline Phosphatase, Safety, Quality of life</t>
  </si>
  <si>
    <t>Overall survival*, PSA response rate, Time to PSA progression (TTPP), Radiographic progression-free survival, Safety</t>
  </si>
  <si>
    <t>Overall survival*, Measures of response (in the PSA level, in soft tissue, and in the quality-of-life score) and measures of progression (time to PSA progression, radiographic progression-free survival, and time to the first skeletal-related event), Safety, Quality of life</t>
  </si>
  <si>
    <t>Overall survival, progression-free survival, PSA response, PA progression, Objective tumor response, pain response, time to tumour progression, Safety</t>
  </si>
  <si>
    <t>Overall survival*, median time to objective disease progression,  median time to clinical disease progression, Reduction in PSA</t>
  </si>
  <si>
    <t>Administration route</t>
  </si>
  <si>
    <t xml:space="preserve"> Background: Docetaxel and cabazitaxel improve overall survival compared with mitoxantrone in patients with metastatic castration-resistant prostate cancer. Custirsen (OGX011) is a second generation highly specific antisense oligonucleotide that inhibits the production of clusterin, an antiapoptotic protein that is upregulated in response to chemotherapy and that confers treatment resistance. We aimed to assess whether custirsen in combination with cabazitaxel and prednisone increases overall survival in patients with metastatic castration-resistant prostate cancer previously treated with docetaxel. Methods: In this randomised, open-label, international, phase 3 trial, men with radiographically documented metastatic castration-resistant prostate cancer that had progressed after docetaxel treatment with a Karnofsky performance status of more than 70% and who were fit for chemotherapy, were recruited from 95 cancer treatment centres in eight countries. Patients were randomly assigned (1:1) centrally using permuted blocks (block size 8) to receive cabazitaxel plus prednisone (cabazitaxel 25 mg/m2 IVly every 21 days plus oral prednisone 10 mg daily) with or without custirsen (640 mg IVly on days 1, 8, and 15, plus three previous loading doses) until disease progression, unacceptable toxicity, or the completion of ten treatment cycles. Randomisation was stratified by use of opioids for prostate cancer-related pain at screening, disease progression following first-line docetaxel treatment established by radiographic evidence, and previous treatment with abiraterone or enzalutamide. The co-primary endpoints were overall survival in all randomly assigned patients and in a poor-prognosis subgroup. All analyses were intention to treat with the exception of safety, which was reported for patients who received any assigned treatment. The trial has been completed and the results presented here are the final analysis. This trial is registered with Clinicaltrials.gov, number NCT01578655. Findings: Between Sept 9, 2012, and Sept 29, 2014, 795 patients were screened for enrolment. 635 men were eligible for inclusion and were randomly assigned (n=317 in the cabazitaxel and prednisone plus custirsen group and n=318 in the cabazitaxel and prednisone group). Median follow up was 28·3 months (IQR 24·4–34·5) for the custirsen group and 29·8 months (IQR 25·3–35·2) for the control group. Median overall survival in all randomly assigned patients did not differ between the two groups (14·1 months [95% CI 12·7–15·9] in the curtisen group vs 13·4 months [12·1–14·9] in the control group; hazard ratio [HR] 0·95 [95% CI 0·80–1·12]; log-rank p=0·53). In the poor prognosis subgroup, median overall survival also did not differ between the two treatment groups (11·0 months [95% CI 9·3–13·3] in the custursin group vs 10·9 months [8·2–12·4] in the control group; HR 0·97 [95% CI 0·80–1·21]; two-sided p=0·80). The most frequently reported grade 3 or worse adverse events in the custirsen versus control groups were neutropenia (70 [22%] of 315 vs 61 [20%] of 312), anaemia (68 [22%] vs 49 [16%]), fatigue (23 [7%] vs 18 [6%]), asthenia (16 [5%] vs 8 [3%]), bone pain (16 [5%] vs 5 [2%]), and febrile neutropenia (16 [5%] vs 9 [3%]). Serious adverse events were reported in 155 (49%) versus 132 (42%). 27 patients died within 30 days of treatment in the cabazitaxel and prednisone plus custirsen group, seven of which were deemed to be treatment related, versus 17 in the cabazitaxel and prednisone group, eight of which were deemed to be treatment related. Of the 21 deaths reported, 15 were reported as complications related to study treatment, either chemotherapy (eight and three, respectively) or study drug (none and four, respectively). Interpretation: We noted no survival benefit in men with metastatic castration-resistant prostate cancer with the addition of custirsen to cabazitaxel and prednisone treatment. Cabazitaxel and prednisone remains the standard of care for patients with metastatic castration-resistant prostate cancer progressing after docetaxel chemotherapy. Funding: OncoGenex Pharmaceuticals.</t>
  </si>
  <si>
    <t>IV</t>
  </si>
  <si>
    <t>Background Primary results from the phase 3 ALSYMPCA trial showed that radium-223 dichloride (radium-223), a targeted α-emitter, improved overall survival compared with placebo and was well tolerated in patients with castrationresistant prostate cancer and symptomatic bone metastases. We did a prespecifi ed subgroup analysis from ALSYMPCA to assess the eff ect of previous docetaxel use on the effi cacy and safety of radium-223. Methods In the phase 3, randomised, double-blind ALSYMPCA trial, patients with symptomatic castration-resistant prostate cancer, at least two symptomatic bone metastases, no known visceral metastases, and who were receiving best standard of care were randomly assigned (2:1) via an interactive voice response system to receive six injections of radium-223 (50 kBq/kg IVly) or matching placebo, with one injection given every 4 weeks. Patients had either received previous docetaxel treatment or were unsuitable for or declined docetaxel; previous docetaxel use (yes or no) was a trial stratifi cation factor. We investigated the eff ect of previous docetaxel use on radium-223 treatment for the primary endpoint of overall survival, the main secondary effi cacy endpoints, and safety. Effi cacy analyses were done for the intention-to-treat population; safety analyses were done for the safety population. The trial has been completed and is registered with ClinicalTrials.gov, number NCT00699751. Findings Randomisation took place between June 12, 2008, and Feb 1, 2011. 526 (57%) of 921 randomly assigned patients had received previous docetaxel treatment (352 in the radium-223 group and 174 in the placebo group) and 395 (43%) had not (262 in the radium-223 group and 133 in the placebo group). Radium-223 prolonged median overall survival compared with placebo, irrespective of previous docetaxel use (previous docetaxel use, hazard ratio [HR] 0·70, 95% CI 0·56–0·88; p=0·002; no previous docetaxel use, HR 0·69, 0·52–0·92; p=0·01). The benefi t of radium-223 compared with placebo was seen in both docetaxel subgroups for most main secondary effi cacy endpoints; risk for time to time to fi rst symptomatic skeletal event was reduced with radium-223 versus placebo in patients with previous docetaxel use, but the diff erence was not signifi cant in those with no previous docetaxel use. 322 (62%) of 518 patients previously treated with docetaxel had grade 3–4 adverse events, compared with 205 (54%) of 383 patients without docetaxel. Patients who had previously been treated with docetaxel had a higher incidence of grade 3–4 thrombocytopenia with radium-223 than with placebo (31 [9%] of 347 patients vs fi ve [3%] of 171 patients), whereas the incidence was similar between treatment groups among patients with no previous docetaxel use (seven [3%] of 253 patients vs one [1%] of 130 patients). The incidences of grade 3–4 anaemia and neutropenia were similar between the radium-223 and placebo groups within both docetaxel subgroups. Interpretation Radium-223 is eff ective and well tolerated in patients with castration-resistant prostate cancer and symptomatic bone metastases, irrespective of previous docetaxel use.</t>
  </si>
  <si>
    <t xml:space="preserve"> Background Cabazitaxel is a novel tubulin-binding taxane drug with antitumour activity in docetaxel-resistant cancers. We aimed to compare the efficacy and safety of cabazitaxel plus prednisone with those of mitoxantrone plus prednisone in men with metastatic castration-resistant prostate cancer with progressive disease after docetaxel-based treatment. Methods We undertook an open-label randomised phase 3 trial in men with metastatic castration-resistant prostate cancer who had received previous hormone therapy, but whose disease had progressed during or after treatment with a docetaxel-containing regimen. Participants were treated with 10 mg oral prednisone daily, and were randomly assigned to receive either 12 mg/m2 mitoxantrone IVly over 15-30 min or 25 mg/m2 cabazitaxel IVly over 1 h every 3 weeks. The random allocation schedule was computer-generated; patients and treating physicians were not masked to treatment allocation, but the study team was masked to the data analysis. The primary endpoint was overall survival. Secondary endpoints included progression-free survival and safety. Analysis was by intention to treat. This study is registered at ClinicalTrials.gov, NCT00417079. Findings 755 men were allocated to treatment groups (377 mitoxantrone, 378 cabazitaxel) and were included in the intention-to-treat analysis. At the cutoff for the final analysis (Sept 25, 2009), median survival was 15·1 months (95 CI 14·1-16·3) in the cabazitaxel group and 12·7 months (11·6-13·7) in the mitoxantrone group. The hazard ratio for death of men treated with cabazitaxel compared with those taking mitoxantrone was 0·70 (95 CI 0·59-0·83, p&lt;0·0001). Median progression-free survival was 2·8 months (95 CI 2·4-3·0) in the cabazitaxel group and 1·4 months (1·4-1·7) in the mitoxantrone group (HR 0·74, 0·64-0·86, p&lt;0·0001). The most common clinically significant grade 3 or higher adverse events were neutropenia (cabazitaxel, 303 [82] patients vs mitoxantrone, 215 [58]) and diarrhoea (23 [6] vs one [&lt;1]). 28 (8) patients in the cabazitaxel group and five (1) in the mitoxantrone group had febrile neutropenia. Interpretation Treatment with cabazitaxel plus prednisone has important clinical antitumour activity, improving overall survival in patients with metastatic castration-resistant prostate cancer whose disease has progressed during or after docetaxel-based therapy. Funding Sanofi-Aventis. © 2010 Elsevier Ltd.</t>
  </si>
  <si>
    <t>Background: Sipuleucel-T, an autologous active cellular immunotherapy, has shown evidence of efficacy in reducing the risk of death among men with metastatic castration-resistant prostate cancer. Methods In this double-blind, placebo-controlled, multicenter phase 3 trial, we randomly assigned 512 patients in a 2:1 ratio to receive either sipuleucel-T (341 patients) or placebo (171 patients) administered IVly every 2 weeks, for a total of three infusions. The primary end point was overall survival, analyzed by means of a stratified Cox regression model adjusted for baseline levels of serum prostate-specific antigen (PSA) and lactate dehydrogenase. Results In the sipuleucel-T group, there was a relative reduction of 22% in the risk of death as compared with the placebo group (hazard ratio, 0.78; 95% confidence interval [CI], 0.61 to 0.98; P = 0.03). This reduction represented a 4.1-month improvement in median survival (25.8 months in the sipuleucel-T group vs. 21.7 months in the placebo group). The 36-month survival probability was 31.7% in the sipuleucel-T group versus 23.0% in the placebo group. The treatment effect was also observed with the use of an unadjusted Cox model and a log-rank test (hazard ratio, 0.77; 95% CI, 0.61 to 0.97; P = 0.02) and after adjustment for use of docetaxel after the study therapy (hazard ratio, 0.78; 95% CI, 0.62 to 0.98; P = 0.03). The time to objective disease progression was similar in the two study groups. Immune responses to the immunizing antigen were observed in patients who received sipuleucel-T. Adverse events that were more frequently reported in the sipuleucel-T group than in the placebo group included chills, fever, and headache. Conclusions The use of sipuleucel-T prolonged overall survival among men with metastatic castration- resistant prostate cancer. No effect on the time to disease progression was observed. (Funded by Dendreon; ClinicalTrials.gov number, NCT00065442.)</t>
  </si>
  <si>
    <t>PO</t>
  </si>
  <si>
    <t xml:space="preserve">PO </t>
  </si>
  <si>
    <t>PO + IV</t>
  </si>
  <si>
    <t>Age Mean (per arm)</t>
  </si>
  <si>
    <t>Europe, North America, Australia</t>
  </si>
  <si>
    <t>Gleason score (n)</t>
  </si>
  <si>
    <t>&lt;7: 5
=7: 35
&gt;7: 72</t>
  </si>
  <si>
    <t>&lt;7: 2
=7: 14
&gt;7: 41</t>
  </si>
  <si>
    <t>&lt;7: 76
=7: 177
&gt;7: 296</t>
  </si>
  <si>
    <t>&lt;7: 43
=7: 88
&gt;7: 129</t>
  </si>
  <si>
    <t>≥9: 42</t>
  </si>
  <si>
    <t>≥8: 356</t>
  </si>
  <si>
    <t>≥8: 189</t>
  </si>
  <si>
    <t>≥8: 50</t>
  </si>
  <si>
    <t>Prior therapy (n)</t>
  </si>
  <si>
    <t>1: 503
2: 59
3: 21</t>
  </si>
  <si>
    <t>1: 249
2: 31
3: 9</t>
  </si>
  <si>
    <t>1: 579
2: 196
3: 25</t>
  </si>
  <si>
    <t>1: 296
2: 95
3: 8</t>
  </si>
  <si>
    <t>1: 268
2: 79
3: 30</t>
  </si>
  <si>
    <t>1: 260
2: 94
3: 24</t>
  </si>
  <si>
    <t>Fizazi_LO_2012
Logothetis_LO_2012</t>
  </si>
  <si>
    <t>Fizazi, K
Logothetis, CJ</t>
  </si>
  <si>
    <t>PSA level at baseline (Median)</t>
  </si>
  <si>
    <t>Time since diagnosis, Median (months)</t>
  </si>
  <si>
    <t>Duration of Treatment, Median (months)</t>
  </si>
  <si>
    <t>127·5</t>
  </si>
  <si>
    <t>143·9</t>
  </si>
  <si>
    <t>Follow-up (months)</t>
  </si>
  <si>
    <t>28·3</t>
  </si>
  <si>
    <t>29·8</t>
  </si>
  <si>
    <t>20·2</t>
  </si>
  <si>
    <t>SD: 32
PD: 12</t>
  </si>
  <si>
    <t>SD: 12
PD: 8</t>
  </si>
  <si>
    <t>Zhou_PLoS_2015
Ye_ECC_2013 (abstract)</t>
  </si>
  <si>
    <t>Zhou, T
Ye, D</t>
  </si>
  <si>
    <t>PSA response Evaluable N</t>
  </si>
  <si>
    <t>PSA response N</t>
  </si>
  <si>
    <t>Mortality Evaluable N</t>
  </si>
  <si>
    <t>Mortality N</t>
  </si>
  <si>
    <t>Original</t>
  </si>
  <si>
    <t xml:space="preserve">14·1 </t>
  </si>
  <si>
    <t>NE</t>
  </si>
  <si>
    <t>14·4</t>
  </si>
  <si>
    <t>11·3</t>
  </si>
  <si>
    <t>15·8</t>
  </si>
  <si>
    <t>&lt; 0.0001</t>
  </si>
  <si>
    <t>&lt;0.0001</t>
  </si>
  <si>
    <t>De Bono_Lancet_2010
Oudard_ASCO_2011 (abstract)</t>
  </si>
  <si>
    <t>De Bono, JS
Oudard, S</t>
  </si>
  <si>
    <t>Prednisone plus cabazitaxel or mitoxantrone for metastatic castration-resistant prostate cancer progressing after docetaxel treatment: A randomised open-label trial
Cabazitaxel or mitoxantrone with prednisone in patients with metastatic castration-resistant prostate cancer (mCRPC) previously treated with docetaxel: Estimating mean overall survival (OS) for health economic analyses from a phase III trial (TROPIC).</t>
  </si>
  <si>
    <t>PFS</t>
  </si>
  <si>
    <t>&lt;0.001</t>
  </si>
  <si>
    <t>5·6</t>
  </si>
  <si>
    <t>&lt;0·0001</t>
  </si>
  <si>
    <t>3·6</t>
  </si>
  <si>
    <t>SD: 10
PD: 3
DOR: 4.2 months</t>
  </si>
  <si>
    <t>SD: 10
PD: 2
DOR: 2.83 months</t>
  </si>
  <si>
    <t>TTP: 8.8 months</t>
  </si>
  <si>
    <t>TTP: 5.4 months</t>
  </si>
  <si>
    <t>Time to PSA progression - Definition</t>
  </si>
  <si>
    <t>Time to PSA progression N (per arm)</t>
  </si>
  <si>
    <t>Time to PSA progression, months</t>
  </si>
  <si>
    <t>Time to PSA progression, CI Low</t>
  </si>
  <si>
    <t>Time to PSA progression, CI High</t>
  </si>
  <si>
    <t>Time to PSA progression, HR</t>
  </si>
  <si>
    <t>Time to PSA progression, HR CI Low</t>
  </si>
  <si>
    <t>Time to PSA progression, HR CI High</t>
  </si>
  <si>
    <t>Time to PSA progression HR p-value</t>
  </si>
  <si>
    <t>Median time to PSA progression, defined as the time interval from randomization to the date of PSA progression per PSAWG criteria.</t>
  </si>
  <si>
    <t>3·5</t>
  </si>
  <si>
    <t>3·3</t>
  </si>
  <si>
    <t>8·5</t>
  </si>
  <si>
    <t>6·6</t>
  </si>
  <si>
    <t>Time to PSA progression was defined as time from randomization to PSA progression</t>
  </si>
  <si>
    <t>Any grade AEs: 60</t>
  </si>
  <si>
    <t>Any grade AEs: 57</t>
  </si>
  <si>
    <t>Any grade AEs: 313</t>
  </si>
  <si>
    <t>Any grade AEs: 297</t>
  </si>
  <si>
    <t>Any grade AEs: 680</t>
  </si>
  <si>
    <t>Any grade AEs: 333</t>
  </si>
  <si>
    <t>Any grade AEs: 136</t>
  </si>
  <si>
    <t>Any grade AEs: 66</t>
  </si>
  <si>
    <t>Any grade AEs: 717</t>
  </si>
  <si>
    <t>Any grade AEs: 345</t>
  </si>
  <si>
    <t>Any grade AEs: --</t>
  </si>
  <si>
    <t>Any grade AEs: 546</t>
  </si>
  <si>
    <t>Any grade AEs: 177</t>
  </si>
  <si>
    <t>Any grade AEs: 330</t>
  </si>
  <si>
    <t>Any grade AEs: 168</t>
  </si>
  <si>
    <t>Any grade AEs: 610</t>
  </si>
  <si>
    <t>Any grade AEs: 305</t>
  </si>
  <si>
    <t>Any grade AEs: 785</t>
  </si>
  <si>
    <t>Any grade AEs: 390</t>
  </si>
  <si>
    <t>Cabozantinib treatment did not demonstrate better pain palliation than mitoxantrone-prednisone in heavily pretreated patients with mCRPC and symptomatic bone metastases. Future pain-palliation trials should incorporate briefer timelines from enrollment to treatment initiation.</t>
  </si>
  <si>
    <t>Barqawi_JME_2019</t>
  </si>
  <si>
    <t>Cost-effectiveness model of abiraterone plus prednisone, cabazitaxel plus prednisone and enzalutamide for visceral metastatic castration resistant prostate cancer therapy after docetaxel therapy resistance</t>
  </si>
  <si>
    <t>Aims: Among patients diagnosed with prostate cancer, 10–20% will develop castration-resistant prostate cancer (CRPC) within 5 years; for 70%, CRPC will metastasize, mostly to the lungs and/or liver. We performed a cost-effectiveness model comparing abiraterone plus prednisone (ABI + PRD), cabazitaxel plus prednisone (CAB + PRD) and enzalutamide (ENZ) for visceral metastatic CRPC post-docetaxel therapy resistance. Methods: A three-state (Progression-Free, Progression, Death) lifetime Markov model was constructed to compare ABI + PRD, CAB + PRD, and ENZ from a United States healthcare payer perspective (2019 US$; discount rate 3%/yr.). Effectiveness was measured in life-years (LYs) and quality-adjusted life years (QALYs). Inputs included treatment costs, grade III/IV adverse events with incidence ≥5%, physician follow-up, lab and imaging tests. Phase III trial Kaplan-Meier curves were extrapolated to estimate overall survival and Progression-Free transition probabilities. Incremental cost-effectiveness ratios (ICERs) and utility ratios (ICURs), probabilistic sensitivity analyses (PSAs) and cost-effectiveness acceptability curves at willingness-to-pay (WTP) thresholds were estimated. Results: Models estimated 3-year overall survival rates of 1.3% for patients treated with ABI + PRD, 16.2% for CAB + PRD, and 13.2% for ENZ. Estimated Progression-Free rates at 1.5 years were 0.51% for ABI + PRD, 0.27% for CAB + PRD, and 14.47% for ENZ. LYs and QALYs were 1.20 and 0.58 respectively for ABI + PRD, 1.48 and 0.56 for CAB + PRD, and 1.58 and 0.79 for ENZ. Total treatment costs were: $115,433 for ABI + PRD, $85,337 for CAB + PRD and $109,213 for ENZ. CAB + PRD and ENZ dominated ABI + PRD due to higher LYs gained. Incremental QALYs for ENZ vs. CAB + PRD were larger than incremental LYs. The ICUR for ENZ was $103,674/QALY compared to CAB + PRD. Conclusions: This analysis found ENZ provided greater LYs and QALYs than both ABI + PRD and CAB + PRD, at a lower cost than ABI + PRD, but at a higher cost compared to CAB + PRD. For patients with visceral mCRPC after docetaxel therapy resistance, ENZ was cost-effective 92% of the time with a WTP threshold of $100,000/QALY.</t>
  </si>
  <si>
    <t>In health technology assessment, decisions are based on complex cost-effectiveness models that require numerous input parameters. When not all relevant estimates are available, the model may have to be simplified. Multiparameter evidence synthesis combines data from diverse sources of evidence, which results in obtaining estimates required in clinical decision making that otherwise may not be available. We demonstrate how bivariate meta-analysis can be used to predict an unreported estimate of a treatment effect enabling implementation of a multistate Markov model, which otherwise needs to be simplified. To illustrate this, we used an example of cost-effectiveness analysis for docetaxel in combination with prednisolone in metastatic hormone-refractory prostate cancer. Bivariate meta-analysis was used to model jointly available data on treatment effects on overall survival and progression-free survival (PFS) to predict the unreported effect on PFS in a study evaluating docetaxel with prednisolone. The predicted treatment effect on PFS enabled implementation of a 3-state Markov model comprising stable disease, progressive disease, and dead states, while lack of the estimate restricted the model to a 2-state model (with alive and dead states). The 2-state and 3-state models were compared by calculating the incremental cost-effectiveness ratio (which was much lower in the 3-state model: £22,148 per quality-adjusted life year gained compared to £30,026 obtained from the 2-state model) and the expected value of perfect information (which increased with the 3-state model). The 3-state model has the advantage of distinguishing surviving patients who progressed from those who did not progress. Hence, the use of advanced meta-analytic techniques allowed obtaining relevant parameter estimates to populate a model describing disease pathway in more detail while helping to prevent valuable clinical data from being discarded.</t>
  </si>
  <si>
    <t>Bayesian Multiparameter Evidence Synthesis to Inform Decision Making: A Case Study in Metastatic Hormone-Refractory Prostate Cancer</t>
  </si>
  <si>
    <t>Tan_MDM_2018</t>
  </si>
  <si>
    <t>Barqawi, YK</t>
  </si>
  <si>
    <t>Tan, SH</t>
  </si>
  <si>
    <t>Schultz, NM</t>
  </si>
  <si>
    <t>Ra-223</t>
  </si>
  <si>
    <t>Prednisolone</t>
  </si>
  <si>
    <t>Italy</t>
  </si>
  <si>
    <t>USA</t>
  </si>
  <si>
    <t>UK</t>
  </si>
  <si>
    <t>Visceral mCRPC patients resistant to docetaxel therapy</t>
  </si>
  <si>
    <t>Scher_NEJM_2012
Ning_CCR_2013
Fizazi_LO_2014</t>
  </si>
  <si>
    <t>Scher, HI
Ning, YM
Fizazi, K</t>
  </si>
  <si>
    <t>Custirsen (OGX-011) combined with cabazitaxel and prednisone versus cabazitaxel and prednisone alone in patients with metastatic castration-resistant prostate cancer previously treated with docetaxel (AFFINITY): a randomised, open-label, international, phase 3 trial.</t>
  </si>
  <si>
    <t>A multicenter, randomized clinical trial comparing the three-weekly docetaxel regimen plus prednisone versus mitoxantone plus prednisone for Chinese Patients with metastatic castration refractory prostate cancer.
A randomized open-label study comparing the docetaxel plus prednisone regimen versus mitoxantrone plus prednisone  regimen for metastatic hormone refractory prostate cancer in Chinese population.</t>
  </si>
  <si>
    <t>Abiraterone acetate for treatment of metastatic castration-resistant prostate cancer: Final overall survival analysis of the COU-AA-301 randomised, double-blind, placebo-controlled phase 3 study.
Effect of abiraterone acetate and prednisone compared with placebo and prednisone on pain control and skeletal-related events in patients with metastatic castration-resistant prostate cancer: exploratory analysis of data from the COU-AA-301 randomised trial.</t>
  </si>
  <si>
    <t>Efficacy and safety of radium-223 dichloride in patients with castration-resistant prostate cancer and symptomatic bone metastases, with or without previous docetaxel use: A prespecified subgroup analysis from the randomised, double-blind, phase 3 ALSYMPCA trial.</t>
  </si>
  <si>
    <t xml:space="preserve">Patients with mCRPC that are refractory to hormone therapy and previously treated with a docetaxel-containing regimen. </t>
  </si>
  <si>
    <t>Patients ≥18 years old mCRPC with evidence of disease progression after receiving docetaxel</t>
  </si>
  <si>
    <t>Patients with mCRPC who had previous treatment with docetaxel</t>
  </si>
  <si>
    <t>Patients were eligible for enrollment if they had a histologically or cytologically confirmed diagnosis of prostate cancer, castrate levels of testosterone (&lt;50 ng per deciliter [1.7 nmol per liter]), previous treatment with docetaxel, and progressive disease defined according to PCWG2 criteria, including three increasing values for prostatespecific antigen (PSA) or radiographically confirmed progression with or without a rise in the PSA level.</t>
  </si>
  <si>
    <t xml:space="preserve">Eligible patients had metastatic castration-resistant prostate cancer (histologically or cytologically diagnosed) with evidence of metastatic disease on CT imaging or bone scan; current progressive disease as defined by measurable disease (according to RECIST version 1.1), bone scan progression, or increasing serum prostate-specific antigen (PSA) concentration; previous first-line treatment with a docetaxel-containing regimen; no other cytotoxic chemotherapy beyond first-line docetaxel; no previous radiopharmaceuticals or custirsen; ability to tolerate a starting dose of 25 mg/m² cabazitaxel and 10 mg prednisone per day; a Karnofsky score of 70% or higher; specified baseline laboratory values (in addition to PSA and testosterone, eligibility was established using a complete blood count and a comprehensive chemistry panel); castrate serum testosterone concentration (&lt;50 ng/dL or &lt;1·7 nmol/L); continuing on a luteinizing hormone-releasing hormone analogue; and recovery from any previous grade 2 or higher adverse events from treatment. </t>
  </si>
  <si>
    <t>Histologically or cytologically confirmed adenocarcinoma of the prostate that is refractory to hormone therapy and previously treated with a Taxotere®-containing regimen. Documented progression of disease (demonstrating at least one visceral or soft tissue metastatic lesion, including a new lesion). Patients with non-measurable disease must have documented rising prostate-specific antigen (PSA) levels or appearance of new lesion. Surgical or hormone-induced castration. Life expectancy &gt; 2 months. Eastern Cooperative Oncology Group (ECOG) performance status 0 - 2. Previous and ongoing castration by orchiectomy or LHRH agonists, or both; antiandrogen withdrawal followed by progression had to have taken place at least 4 weeks (6 weeks for bicalutamide) before enrolment; adequate haematological, hepatic, renal, and cardiac function; and a left-ventricular ejection fraction of more than 50% assessed by multigated radionuclide angiography or echocardiogram.</t>
  </si>
  <si>
    <t>Patients were at least 18 years old and had histologically or cytologically confirmed adenocarcinoma of the prostate and radiographically documented metastatic disease with evidence of disease progression (per RECIST 1.119 for soft tissue lesions or Prostate Cancer Working Group criteria20 for bone disease, and/or PSA increase) after receiving dpcetaxel (≥360 mg/m2 within a 6-month period). Patients intolerant to docetaxel or who had progressive disease before receiving &gt;=360 mg/m2 were eligible if they received &gt;= 225 mg/m2 of docetaxel within a 6-month period and met other entry criteria. Patients eligibility required surgical/medical castration with testosterone less than 50 ng/dL; PSA &gt;= 2 ng/mL; Eastern Cooperative Oncology Group performance status of 0 to 2; and adequate renal, hematologic, cardiovascular, and hepatic function.</t>
  </si>
  <si>
    <t>Men with histologically or cytologically confirmed metastatic castration-resistant prostate cancer were eligible if they had had previous treatment with docetaxel and a maximum of two previous chemotherapies; prostatespecific anti gen (PSA) progression according to Prostate Cancer Working Group criteria (PCWG) or radiographic progression in soft tissue or bone with or without PSA progression; ongoing androgen deprivation to maintain serum testosterone concentration lower than 50 ng/dL (&lt;2·0 nmol/L by radioimmunoassay). Eastern Cooperative Oncology Group (ECOG)23 performance status score of 2 or less (on a scale from 0 to 5, with 0 indicating that the patient is fully active and able to carry on all predisease activities without restriction; 1 indicating that the patient is restricted in physically strenuous activity but is ambulatory and able to carry out work of a light or sedentary nature, such as light housework or office work; and 2 indicating that the patient is ambulatory and up and about more than 50% of waking hours and is capable of all self-care but unable to carry out any work activities) and hematologic and chemical laboratory values that met predefined criteria, including an albumin level of 3.0 g per deciliter or higher.</t>
  </si>
  <si>
    <t>Age ≥ 18 years on the date of consent. Histological or cytological diagnosis of adenocarcinoma of the prostate. Metastatic disease at screening on a chest, abdomen or pelvic CT or bone scan. Concurrent pain and analgesic use that is viewed by the Investigator to be related to prostate cancer. Received at least 4 cycles of prior docetaxel-based first-line chemotherapy for metastatic disease based on a q3 week schedule of docetaxel. Patients treated on a weekly or alternate schedule for first-line docetaxel must have received an accumulated dose of docetaxel of at least 300 mg/M2. Current progressive disease during or after completing first-line docetaxel treatment. Baseline laboratory values at screening visit within protocol defined limits. Must be willing to continue primary androgen suppression with luteinizing hormone releasing hormone (LHRH) analogues throughout the study, if not treated with bilateral orchiectomy. Adequate bone marrow function. Karnofsky score ≥ 70% at screening visit. At least 21 days have passed since completing radiotherapy at the time of randomization. At least 21 days have passed since completing any cytotoxic agent or investigational agent given in combination with the docetaxel-based first-line therapy, including ASOs (except custirsen which is an exclusion criterion), at the time of randomization. Has recovered from all therapy related toxicity to ≤ grade 2 (except alopecia, anemia and any signs or symptoms of androgen deprivation therapy). Patient can tolerate a starting dose of docetaxel of 75 mg/M2 or cabazitaxel at 25 mg/M2. Patient must have remained on the same bisphosphonate or denosumab usage for a minimum of 12 weeks prior to randomization.</t>
  </si>
  <si>
    <t>Patients ≥18 years old mCRPC with at least 4 cycles of prior docetaxel</t>
  </si>
  <si>
    <t>Eligible men had metastatic castration-resistant prostate cancer. Intially patients enrolled only men with a Gleason score of 7 or less. only patients with asymptomatic disease were enrolled. After the overall survival analysis in the aforementioned trial, which indicated a positive treatment effect that was independent of the Gleason score, and amended the eligibility criteria to include men with any Gleason score, as well as those whose disease was minimally symptomatic. Serum prostate-specific antigen (PSA) level of 5 ng per milliliter or more and a serum testosterone level of less than 50 ng per deciliter (17 nmol per liter).</t>
  </si>
  <si>
    <t>This study enrolled patients age 18 years or older with mCRPC who had bone metastases and disease progression after docetaxel and abiraterone acetate and/or enzalutamide. There was no limit on the number of prior anticancer treatments. Eligible patients had documented histologic or cytologic diagnosis of adenocarcinoma of the prostate, serum testosterone levels lower than 1.75 nmol/L, and evidence of bone metastases related to prostate cancer on bone scans from a protocol-credentialed scanner within 28 days before random assignment.patients had an Eastern Cooperative Oncology Group performance status (ECOG PS) of 0 to 2 and adequate organ and bone marrow function.</t>
  </si>
  <si>
    <t>Patients ≥ 18 years old with mCRPC who had bone metastases and disease progression after docetaxel and abiraterone acetate and/or enzalutamide.</t>
  </si>
  <si>
    <t>Eligible patients ≥ 18 yr of age had a pathological diagnosis of mCRPC, serum testosterone levels &lt;50 ng/dl, prostate cancer-related bone metastases evidenced on bone scans, and documented pain from bone metastases that required opioid narcotic intervention (including both sustained-release and rescue drugs). Patients must have received three or more cycles of docetaxel or progressed after docetaxel-containing therapy and discontinued abiraterone or enzalutamide due to disease progression . The average daily worst pain intensity during a 7-d runin stage (≥ 4 d of reporting) had to be 4–8, as measured on the Brief Pain Inventory (BPI) Short Form (Item 3) . The BPI uses an 11-point numerical rating system for pain assessment (ranging from 0 to 10, with 0 representing “no pain” and 10 representing “pain as bad as you can imagine”). The narcotic analgesic regimen of each patient was required to be optimized at baseline following National Comprehensive Cancer Network Practice Guidelines to provide maximal pain relief without intolerable side effects. There was no limit on other prior anticancer treatments. Eligible patients also had adequate organ and bone marrow function, and a left ventricular ejection fraction of ≥50% within 28 d before randomization as assessed by electrocardiogram or multigated acquisition scan.</t>
  </si>
  <si>
    <t>Patients ≥ 18 years old with mCRPC who had disease progression after docetaxel-containing therapy</t>
  </si>
  <si>
    <t>Histologically or cytologically confirmed prostate adenocarcinoma, Karnofsky performance status (KPS)  ≥70, life expectancy ≥3 months, documented metastatic prostate cancer that was unresponsive or refractory to hormone therapy, documented progression detected by PSA increase (two consecutive rises in PSA taken at least one week apart, a fourth PSA measure would be required if the third one was not greater than the second PSA measure), prior surgical therapy and radiotherapy (with bone marrow depression risk ≤25%) was allowed (at least 4 weeks must had elapsed since completion of these therapies and recovered from side effects), prior treatment with corticosteroids was allowed, effective androgen deprivation by surgical castration (orchiectomy) and/or drug castration (If the patient had been treated with LHRH agonists without orchiectomy, this therapy should be continued) were needed (testosterone level ≤50ng/dL), compliance with the anti-androgen withdrawal period (i.e. flutamide, nilutamide, cyproterone acetate had stopped at least 4 weeks, bicalutamide had stopped at least 6 weeks), achieved stable analgesia (i.e. an increase ≤1 point in daily present pain intensity (PPI) scale and analgesic scores (AS) variation within ±25% of the mean AS) for a minimum of 7 consecutive days prior to randomization.</t>
  </si>
  <si>
    <t>Patients with mCRPC who are unresponsive or refractory to hormone therapy and have documented disease progression</t>
  </si>
  <si>
    <t xml:space="preserve">The study population comprised patients with histologically or cytologically confirmed adenocarcinoma of the prostate that was metastatic and castration-resistant (refractory to androgen ablation), with surgical or ongoing chemical castration and baseline testosterone level ≤ 50 ng/dL. Other eligibility criteria included the following: failure of one previous docetaxel-based regimen, because of either disease progression (docetaxel resistant) or intolerance; documented evidence of progressive disease, defined by either PSA progression (minimum of two rising values obtained ≥ 1 week apart, with the last result being ≥ 2.0 ng/mL), new or increasing nonbone disease on the basis of RECIST, or positive bone scan with ≥ two new lesions; Eastern Cooperative Oncology Group (ECOG) performance status 0 or 1; and adequate organ function. </t>
  </si>
  <si>
    <t>Patients with mCRPC failing one prior docetaxel-containing therapy</t>
  </si>
  <si>
    <t xml:space="preserve">Men aged ≥18 years with histologically/cytologically confirmed mCRPC were eligible if they had failed previous docetaxel- containing chemotherapy; documented disease progression according to PSAWG criteria or radiographic progression in soft tissue or bone despite castrate levels of serum testosterone (&lt;50 ng/dL); and ≤2 ECOG PS score. </t>
  </si>
  <si>
    <t>Eligible patients were men (aged 18 years or older) with progressive, symptomatic castration-resistant prostate cancer, at least two bone metastases on bone scintigraphy, and no known visceral metastases. Patients were receiving best standard of care and could have previously been treated with docetaxel or not (because they were not healthy enough, they declined, or the drug was unavailable). Patients were required to have a serum testosterone concentration no higher than 1·74 nmol/L; baseline serum prostate-specifi c antigen (PSA) concentration of at least 5 μg/L that was progressively increasing (two consecutive increases in PSA over the previous reference value); symptomatic bone disease, defined as either regular use of analgesic drugs for cancer-related bone pain (WHO ladder for cancer pain score ≥1) or treatment with external beam radiotherapy for bone pain within the previous 12 weeks; an Eastern Cooperative Oncology Group (ECOG) performance status score of 0–2; a life expectancy at least 6 months; and adequate haematological, liver, and renal function.</t>
  </si>
  <si>
    <t>Patients ≥ 18 years old with progressive mCRPC</t>
  </si>
  <si>
    <t>Publication Identifier</t>
  </si>
  <si>
    <t xml:space="preserve">Cabazitaxel plus prednisone had important clinical antitumour activity. It improved overall survival in patients with metastatic castration-resistant prostate cancer progressing during or after docetaxel-based therapy. </t>
  </si>
  <si>
    <t>1.6% -7.2%</t>
  </si>
  <si>
    <t>9.6% - 19.3%</t>
  </si>
  <si>
    <t>There was no statistically significant improvement in OS with orteronel-prednisone versus placebo-prednisone. Alongwith longer rPFS and higher rate of ≥50% PSA decrease suggest that orteronel may have antitumor activity in mCRPC after docetaxel therapy.</t>
  </si>
  <si>
    <t xml:space="preserve">The analysis of the COU-AA-301 trial confirms that abiraterone acetate significantly prolongs overall survival in patients with metastatic castration-resistant prostate cancer who have progressed after docetaxel treatment. </t>
  </si>
  <si>
    <t>Background: Abiraterone acetate improved overall survival in metastatic castration-resistant prostate cancer at a preplanned interim analysis of the COU-AA-301 double-blind, placebo-controlled phase 3 study. Here, we present the final analysis of the study before crossover from placebo to abiraterone acetate (after 775 of the prespecified 797 death events). Methods: Between May 8, 2008, and July 28, 2009, this study enrolled 1195 patients at 147 sites in 13 countries. Patients were eligible if they had metastatic castration-resistant prostate cancer progressing after docetaxel. Patients were stratified according to baseline Eastern Cooperative Oncology Group (ECOG) performance status, worst pain over the past 24 h on the Brief Pain Inventory-Short Form, number of previous chemotherapy regimens, and type of progression. Patients were randomly assigned (ratio 2:1) to receive either abiraterone acetate (1000 mg, once daily and orally) plus prednisone (5 mg, orally twice daily) or placebo plus prednisone with a permuted block method via an interactive web response system. The primary endpoint was overall survival, analysed in the intention-to-treat population. This study is registered with ClinicalTrials.gov, number NCT00091442. Findings: Of the 1195 eligible patients, 797 were randomly assigned to receive abiraterone acetate plus prednisone (abiraterone group) and 398 to receive placebo plus prednisone (placebo group). At median follow-up of 20·2 months (IQR 18·4-22·1), median overall survival for the abiraterone group was longer than in the placebo group (15·8 months [95% CI 14·8-17·0] vs 11·2 months [10·4-13·1]; hazard ratio [HR] 0·74, 95% CI 0·64-0·86; p&lt;0·0001). Median time to PSA progression (8·5 months, 95% CI 8·3-11·1, in the abiraterone group vs 6·6 months, 5·6-8·3, in the placebo group; HR 0·63, 0·52-0·78; p&lt;0·0001), median radiologic progression-free survival (5·6 months, 5·6-6·5, vs 3·6 months, 2·9-5·5; HR 0·66, 0·58-0·76; p&lt;0·0001), and proportion of patients who had a PSA response (235 [29·5%] of 797 patients vs 22 [5·5%] of 398; p&lt;0·0001) were all improved in the abiraterone group compared with the placebo group. The most common grade 3-4 adverse events were fatigue (72 [9%] of 791 patients in the abiraterone group vs 41 [10%] of 394 in the placebo group), anaemia (62 [8%] vs 32 [8%]), back pain (56 [7%] vs 40 [10%]), and bone pain (51 [6%] vs 31 [8%]). Interpretation: This final analysis confirms that abiraterone acetate significantly prolongs overall survival in patients with metastatic castration-resistant prostate cancer who have progressed after docetaxel treatment. No new safety signals were identified with increased follow-up. Funding: Janssen Research &amp; Development. © 2012 Elsevier Ltd.</t>
  </si>
  <si>
    <t>1 Line</t>
  </si>
  <si>
    <t xml:space="preserve">Enzalutamide significantly prolonged the survival of men with metastatic castration resistant prostate cancer after chemotherapy. In addition to improving overall survival, enzalutamide improves wellbeing and everyday functioning of patients with metastatic castration-resistant prostate cancer.
</t>
  </si>
  <si>
    <t>No survival benefit in men with metastatic castration-resistant prostate cancer with the addition of custirsen to cabazitaxel and prednisone treatment. Cabazitaxel and prednisone remains the standard of care for patients with metastatic castration-resistant prostate cancer progressing after docetaxel chemotherapy.</t>
  </si>
  <si>
    <t>Patients with mCRPC who had progressed after docetaxel treatment</t>
  </si>
  <si>
    <t>Enrollment was not feasible due to restrictive trial criteria of stable baseline pain/consistent analgesia, which were too difficult to achieve. Thus, a survival based study has been launched and is recruiting, with monitoring of pain/analgesic use. Pragmatic criteria for oncology pain studies are needed</t>
  </si>
  <si>
    <t>Background: Durable pain palliation (dPP) in metastatic castrate-resistant prostate cancer (mCRPC) is a measure of clinical benefit suitable for a label indication. A randomized, double-blind, placebo-controlled, phase III study developed with FDA under a Special Protocol Assessment (SPA) compared custirsen/taxane (cust/tax) to placebo/taxane (plac/tax) as second-line chemotherapy for patients (pts) with mCRPC with disease progression during or after first-line docetaxel. Primary efficacy was 12-week or more dPP. Other endpoints included overall survival (OS), serious adverse events (AEs), and Gr 3 AEs. Methods: Patients were randomized (1:1) to second-line taxane (docetaxel retreatment or cabazitaxel; based on prior docetaxel response, progression) + 640 mg custirsen or placebo. Eligible pts had to have baseline stable pain on consistent opioid-analgesic regimen. With a one-sided alpha of 0.025, power of 90%, and estimated difference in proportion of 25% vs. 10% dPP, the trial required 292 pts. Results: Trial was activated at a total of 62 sites and was stopped after 20 months (mo) with only 35 pts screened/14 pts enrolled. Requirements for baseline stable pain/analgesic use proved too restrictive to complete enrollment. Demographics were comparable. Prior response to first-line docetaxel occurred in 93% pts. Disease progression after first-line docetaxel based on bone scan (n=10) or prostate-specific antigen (n=4); median time from end of first-line to progression one mo. Treatment of a median thre cycles plac/tax arm compared to six cycles cust/tax arm. Three pts achieved dPP (n=1 [14%] plac/tax; n=2 [29%] cust/tax). Median OS (95% CI) was 7.8 (3.2, 11.5) mo plac/tax vs. 11.8 (9.8, 15.7) mo cust/tax. AEs greater than or equal to Gr 3 reported for two pts or more included: back pain (0 plac/tax; 2 cust/tax), hyperesthesia (0,2), asthenia (2,1). Serious AEs reported for nine subjects (4,5). Only serious AE reported in more than 1 pt was hyperesthesia, leading to study discontinuation (0, 2). Conclusions: Enrollment was not feasible due to restrictive trial criteria of stable baseline pain/consistent analgesia, which were too difficult to achieve. Thus, a survival based study has been launched and is recruiting, with monitoring of pain/analgesic use. Pragmatic criteria for oncology pain studies are needed.</t>
  </si>
  <si>
    <t>Sipuleucel-T can be administered safely and successfully manufactured for patients previously treated with docetaxel. While the limited sample size of pts with prior docetaxel precludes definitive conclusions, the results of this study suggest that pts who received prior docetaxel appear to generate immune responses and experience a survival benefit.</t>
  </si>
  <si>
    <t>Cabozantinib did not significantly improve OS compared with prednisone in heavily treated patients with mCRPC and progressive disease after docetaxel and abiraterone and/or enzalutamide. Cabozantinib had some activity in improving BSR, rPFS, SSEs, CTC conversions, and bone biomarkers but not PSA outcomes</t>
  </si>
  <si>
    <t>Compared with Mitoxantrone + Prednisone, Docetaxel + Prednisone significantly prolonged overall survival for the Chinese patients with mCRPC and improved the response rate for PSA and pain</t>
  </si>
  <si>
    <t>Purpose: To explore the feasibility and efficacy of docetaxel plus prednisone for Chinese population with metastatic castration refractory prostate cancer (mCRPC). Patients and methods: A total of 228 patients recruited from 15 centers were randomized to receive 10 cycles of D3P arm (docetaxel: 75 mg/m2, IV infusion, every three weeks; Prednisone 10mg orally given daily) or M3P arm (mitoxantrone: 12 mg/m2, IV infusion, every three weeks; Prednisone 10mg orally given daily). Primary end point was overall survival, and secondary end points were events progression-free survival (PFS), response rate, response duration. Quality of life (QoL) was also assessed in both treatment groups. Results: The median overall survival was 21.88 months in D3P arm and 13.67 months in M3P arm (P = 0.0011, hazard ratio = 0.63, 95% confidence interval, 0.46-0.86). Subgroup analysis was consistent with the results of overall analysis. Events progression-free survival (pain, PSA, tumor and disease) were significantly improved in D3P arm compared with M3P arm. PSA response rate was 35.11% for patients treated by D3P arm and 19.39% for M3P arm (P = 0.0155). Pain response rate was higher in D3P arm (61.11%, P = 0.0011) than in M3P (23.08%) arm. No statistical differences were found between D3P arm and M3P arm for QoL, tumor response rate and response duration of PSA and pain. The tolerability and overall safety of D3P arm were generally comparable to that of M3P arm. Conclusions: Compared with M3P arm, D3P arm significantly prolonged overall survival for the Chinese patients with mCRPC and improved the response rate for PSA and pain.</t>
  </si>
  <si>
    <t>The addition of sunitinib to prednisone did not improve OS compared with placebo in docetaxelrefractory mCRPC. The role of antiangiogenic therapy in mCRPC remains investigational.</t>
  </si>
  <si>
    <t>Purpose: We evaluated angiogenesis-targeted sunitinib therapy in a randomized, double-blind trial of metastatic castration-resistant prostate cancer (mCRPC). Patients and Methods: Men with progressive mCRPC after docetaxel-based chemotherapy were randomly assigned 2:1 to receive sunitinib 37.5 mg/d continuously or placebo. Patients also received oral prednisone 5 mg twice daily. The primary end point was overall survival (OS); secondary end points included progression-free survival (PFS). Two interim analyses were planned. Results: Overall, 873 patients were randomly assigned to receive sunitinib (n = 584) or placebo (n = 289). The independent data monitoring committee stopped the study for futility after the second interim analysis. After a median overall follow-up of 8.7 months, median OS was 13.1 months and 11.8 months for sunitinib and placebo, respectively (hazard ratio [HR], 0.914; 95% CI, 0.762 to 1.097; stratified log-rank test, P = .168). PFS was significantly improved in the sunitinib arm (median 5.6 v 4.1 months; HR, 0.725; 95% CI, 0.591 to 0.890; stratified log-rank test, P &lt; .001). Toxicity and rates of discontinuations because of adverse events (AEs; 27% v 7%) were greater with sunitinib than placebo. The most common treatment-related grade 3/4 AEs were fatigue (9% v 1%), asthenia (8% v 2%), and hand-foot syndrome (7% v 0%). Frequent treatment-emergent grade 3/4 hematologic abnormalities were lymphopenia (20% v 11%), anemia (9% v 8%), and neutropenia (6% v &lt; 1%). Conclusion: The addition of sunitinib to prednisone did not improve OS compared with placebo in docetaxel-refractory mCRPC. The role of antiangiogenic therapy in mCRPC remains investigational. © 2013 by American Society of Clinical Oncology.</t>
  </si>
  <si>
    <t>4% - 9%</t>
  </si>
  <si>
    <t>1% -5%</t>
  </si>
  <si>
    <t>Radium-223 is effective and well tolerated in patients with castration-resistant prostate cancer and symptomatic bone metastases, irrespective of previous docetaxel use. Prior docetaxel use treatment are strong prognostic factors for grade 2-4 NP and TCP.</t>
  </si>
  <si>
    <t>Patients ≥ 18 years old with mCRPC who had failed previous docetaxel-containing chemotherapy</t>
  </si>
  <si>
    <t>Subgroup</t>
  </si>
  <si>
    <t xml:space="preserve">Patients with mCRPC </t>
  </si>
  <si>
    <t>A careful synthesis of all relevant evidence can allow valuable data on all outcomes, otherwise discarded, to be used to better inform the decision-making process. Authors demonstrated that multivariate meta-analysis is a valuable tool in the synthesis of evidence for medical decision making that allows for inclusion of all or at least a wider range of available evidence on clinical effectiveness of interventions under assessment, potentially reducing the structural uncertainty of the decision model.</t>
  </si>
  <si>
    <t>ENZ provided greater LYs and QALYs than both ABI+PRD and CAB+PRD, at a lower cost than ABI+PRD, but at a higher cost compared to CAB+PRD. For patients with visceral mCRPC after docetaxel therapy resistance, ENZ was cost-effective 92% of the time with a WTP threshold of $100,000/QALY.</t>
  </si>
  <si>
    <t>2+ Line</t>
  </si>
  <si>
    <t>1+ Line</t>
  </si>
  <si>
    <t>Economic</t>
  </si>
  <si>
    <t>Patients with asymptomatic or mildly symptomatic patients with mCRPC without prior chemotherapy</t>
  </si>
  <si>
    <t>Docetaxel-treated patients in hormone-refractory PC, surviving patients at 12-month follow-up: 0.770
Patients who died of other causes than prostate cancer: 0.564
Patients 12 months before death due to prostate cancer: 0.538</t>
  </si>
  <si>
    <t>OS and PFS transition probabilities were calculated for each of the alternative therapies (ABI þ PRD, CAB þ PRD and ENZ) from the Kaplan-Meier survival curves of the respective phase III trials using a digitizing program (Webplotdigitizer). OS and PFS rates were estimated for all points in time.</t>
  </si>
  <si>
    <t>Drug treatment costs:  RED BOOK Online
Costs of grade III/IV adverse events: clinical trials
Cost per cycle for all drug values: multiplying the (AWP-15%) by the dose required per day by 7
Cost of CAB: based on the (AWP-15%) package price, given every 3 weeks
Cost of ABI: based on the average of 8 available generic products
The unit costs for grade III/IV adverse events management:  from Roy et al
Costs of hospitalization and emergency visits due to stage III/IV adverse events: from Roy et al
Costs of follow-up visits and needed assessments: Centers for Medicare and Medicaid Services (CMS) physician and clinical laboratory fee schedule for the respective Current Procedural Terminology (CPT) codes for 2018</t>
  </si>
  <si>
    <t>Number needed to treat and associated incremental costs of treatment with enzalutamide versus abiraterone acetate plus prednisone in chemotherapy-naïve patients with metastatic castration-resistant prostate cancer</t>
  </si>
  <si>
    <t>The results modeled in the present study suggest ENZA is cost-effective compared with AA for treating chemotherapy-naïve patients with mCRPC.</t>
  </si>
  <si>
    <t>Massoudi, M</t>
  </si>
  <si>
    <t>Objective: Enzalutamide (ENZA) and abiraterone acetate plus prednisone (AA) are approved second_x0002_generation hormone therapies for chemotherapy-naïve metastatic castration-resistant prostate cancer
(mCRPC). This study compared ENZA with AA in chemotherapy-naïve mCRPC by calculating the num_x0002_ber needed to treat (NNT) and associated incremental costs to achieve one additional chemotherapy_x0002_naïve patient with mCRPC free of radiographic progression, chemotherapy, or death over a 1-year time horizon. Methods: Clinical outcomes were obtained from the PREVAIL and COU-AA-302 trials. Three outcomes
were evaluated: radiographic progression-free survival, time to cytotoxic chemotherapy initiation, and overall survival at 1 year. NNT was calculated as the reciprocal of the outcome event rate difference for ENZA compared with AA. The incremental costs to achieve one additional outcome at 1 year were calculated as the difference in cost per treated patient multiplied by the NNT. Per-treated-patient costs were considered from a US payer perspective and included medications, monitoring, adverse events, post-progression treatments, and end-of-life care. Results: Within a 1-year time horizon, the total cost per treated patient for ENZA was $2,666 less than AA. Compared with AA, treating 14 patients with ENZA resulted in one additional patient free of pro_x0002_gression or death over 1 year; treating 26 patients with ENZA resulted in one additional patient with chemotherapy delayed over 1 year; and treating 91 patients with ENZA resulted in one additional patient free of death over 1 year. Therefore, ENZA is cost-effective compared with AA for all three out_x0002_comes evaluated, and the modeled results suggest ENZA is associated with potentially improved clin_x0002_ical outcomes in delaying chemotherapy initiation and disease progression for chemotherapy-naïve
patients. The results are robust in sensitivity analyses, where the effect of changes in key model inputs and assumptions were tested. Conclusion: The results modeled in the present study suggest ENZA is cost-effective compared with AA for treating chemotherapy-naïve patients with mCRPC.</t>
  </si>
  <si>
    <t>Progressive mCRPC</t>
  </si>
  <si>
    <t>mCRPC naïve population treated with enzalutamide and abiraterone acetate plus prednisone</t>
  </si>
  <si>
    <t>Patients with mCRPC previously treated with a docetaxel</t>
  </si>
  <si>
    <t>Chemotherapy-naïve adult patients diagnosed with mCRPC</t>
  </si>
  <si>
    <t>Chemo-naïve and chemo-treated mCRPC patients</t>
  </si>
  <si>
    <t>PREVAIL 
COU-AA-302
NCT00887198</t>
  </si>
  <si>
    <t>Clinical outcomes were obtained from the PREVAIL and COU-AA-302 trials.</t>
  </si>
  <si>
    <t>Unit costs of ENZA, AA, and prednisone: Red Book Online
Unit costs for monitoring tests: the Centers for Medicare &amp; Medicaid Services
Unit costs of treating each adverse event:  literatures
Unit costs for progression-related hospitalization: Healthcare Cost and Utilization Project data</t>
  </si>
  <si>
    <t>Cost-effectiveness of zoledronic acid and strontium-89 as bone protecting treatments in addition to chemotherapy in patients with metastatic castrate-refractory prostate cancer: results from the TRAPEZE trial (ISRCTN 12808747)</t>
  </si>
  <si>
    <t>TRAPEZE  
ISRCTN 12808747</t>
  </si>
  <si>
    <t>The addition of bone-targeting treatments to standard chemotherapy led to a small improvement in QALYs for a modest increase in cost (or cost-savings). ZA and Sr89 resulted in ICERs below conventional willingness-to-pay per QALY thresholds, suggesting that their addition to chemotherapy may represent a cost-effective use of resources.</t>
  </si>
  <si>
    <t>Andronis, L</t>
  </si>
  <si>
    <t>Objective: To evaluate the cost-effectiveness of adding zoledronic acid or strontium-89 to standard docetaxel chemotherapy for patients with castrate-refractory prostate cancer (CRPC). Patients and methods: Data on resource use and quality of life for 707 patients collected prospectively in the TRAPEZE 2 9 2 factorial randomised trial (ISRCTN 12808747) were used to assess the cost-effectiveness of i) zoledronic acid versus no zoledronic acid (ZA vs. no ZA), and ii) strontium-89 versus no strontium-89 (Sr89 vs. no Sr89). Costs were estimated from the perspective of the National Health Service in the UK and included expenditures for trial treatments, concomitant medications, and use of related hospital and primary care services. Quality-adjusted life-years (QALYs) were calculated according to patients’ responses to the generic EuroQol EQ_x0002_5D-3L instrument, which evaluates health status. Results are expressed as incremental cost-effectiveness ratios (ICERs) and cost-effectiveness acceptability curves. Results: The per-patient cost for ZA was £12 667, £251 higher than the equivalent cost in the no ZA group. Patients in the ZA group had on average 0.03 QALYs more than their counterparts in no ZA group. The ICER for this comparison was £8 005. Sr89 was associated with a cost of £13 230, £1365 higher than no Sr89, and a gain of 0.08 QALYs compared to no Sr89. The ICER for Sr89 was £16 884. The probabilities of ZA and Sr89 being cost_x0002_effective were 0.64 and 0.60, respectively. Conclusions: The addition of bone-targeting treatments to standard chemotherapy led to a small improvement in QALYs for a modest increase in cost (or cost-savings). ZA and Sr89 resulted in ICERs below conventional willingness-to-pay per QALY thresholds, suggesting that their addition to chemotherapy may represent a cost-effective use of resources.</t>
  </si>
  <si>
    <t>Docetaxel + Prednisolone</t>
  </si>
  <si>
    <t>Docetaxel + Prednisolone + Zoledronic acid</t>
  </si>
  <si>
    <t xml:space="preserve"> Docetaxel + Prednisolone + Sr89</t>
  </si>
  <si>
    <t>Docetaxel + Prednisolone + Zoledronic acid + Sr89</t>
  </si>
  <si>
    <t>Progressive mCRPC patients collected prospectively in the TRAPEZE  factorial randomised trial (ISRCTN 12808747)</t>
  </si>
  <si>
    <t>Clinical outcomes were obtained from the TRAPEZE 2X2 factorial randomised controlled
trial (ISRCTN 12808747).</t>
  </si>
  <si>
    <t>The cost of trial treatments: patient-specific doses and number of treatment cycles provided
The cost of care or medications provided concomitantly with trial treatment: national sources
Outpatient appointments, inpatient stay, and GP visits: CRFs
Post-treatment hospital stay and visits: patient-completed questionnaires</t>
  </si>
  <si>
    <t>USA, UK</t>
  </si>
  <si>
    <t>Costs for each intervention ( the drug acquisition and administration cost, the follow-up cost, the terminal care cost): HTA report</t>
  </si>
  <si>
    <t>HTA and innovative treatments evaluation: the case of metastatic castration-resistant prostate cancer</t>
  </si>
  <si>
    <t>The evidence-based information underlined the advantages of ENZA and AA+P treatments as therapeutic options for mCRPC patients. In the appraisal phase, the higher score than the comparator suggested ENZA as the preferred treatment for mCRPC.</t>
  </si>
  <si>
    <t>Bretoni, A</t>
  </si>
  <si>
    <t>Purpose: To investigate the implications of the introduction of two hormonal therapies, abiraterone acetate + prednisone (AA+P) and enzalutamide (ENZA), for the treatment of naïve patients with metastatic castration-resistant prostate cancer (mCRPC) in the Italian setting. Methods: In 2017–2018, a Health Technology Assessment was conducted in Italy, con sidering the National Healthcare Service (NHS) perspective. Data were retrieved from literature evidence, economic evaluations, and qualitative questionnaires, considering the 9 EUnetHTA dimensions, and a final multi-criteria approach. Results: On the basis of mCRPC prevalence and incidence rates in Italy, the analysis considered 11,212 males eligible to either AA+P or ENZA treatments. Both drugs led to an improvement of the patients' overall survival, with respect to the standard of care, composed of docetaxel chemotherapy. However, AA+P showed a higher rate of drug-related moderate adverse events and a monitoring activities incidence superior to ENZA (+70%, p-value=0.00), which led to a major resources absorption (€ 1,056.02 vs € 316.25, p-value=0.00), whereas ENZA showed a better cost effectiveness average value (CEV: 54,586.12 vs 57,624.15). Economic savings ranging from 1.46% to 1.61% emerged for the NHS, as well as organizational advantages, with fewer minutes required for the mCRPC management (AA+P: 815 mins vs ENZA: 500 mins). According to experts’ perceptions, based on a 7-item Likert scale (ranging from −3 to +3), similar results emerged on ethical and social impact (ENZA: 1.35 vs AA+P: 1.48, p-value&gt;0.05), and on legal dimension (ENZA: 0.67 vs AA+P: 0.67, p-value&gt;0.05), since both drugs improved the patients’ quality of life and received approval for use. High-level perceptions related to ENZA adoption emerged with regard to equity (ENZA: 0.69 vs AA+P: 0.25, p-value</t>
  </si>
  <si>
    <t xml:space="preserve">Abiraterone </t>
  </si>
  <si>
    <t xml:space="preserve">Enzalutamide </t>
  </si>
  <si>
    <t>Clinical data were derived from phase III related studies</t>
  </si>
  <si>
    <t xml:space="preserve">Cost of each drug: Italian ex-factory price, NHS price list
Non-drug related costs (medical costs for mCRPC management, including the total amount of hematologic and cultural tests, diagnostic procedures, outpatient visits, medical examinations, hospital admissions): literature
Cost of side effects management (laboratory tests, diag_x0002_nostic procedures, clinician visits, hospital admissions): literature
</t>
  </si>
  <si>
    <t>Budgetary Impact of Cabazitaxel Use After Docetaxel Treatment for Metastatic Castration-Resistant Prostate Cancer</t>
  </si>
  <si>
    <t>In the presented BIM, an increase in cabazitaxel use is expected to result in modest cost savings to the health plan. Patient coinsur_x0002_ance savings may also be realized based on applicable Medicare Part B and Part D calculations. This BIM presents an objective, comprehensive, robust, and user-adaptable tool that health plans and medical decision makers may use to evaluate potential economic impact of formulary and reimbursement decisions</t>
  </si>
  <si>
    <t>Flannery, K</t>
  </si>
  <si>
    <t>BACKGROUND: With the approval of several new treatments for metastatic castration-resistant prostate cancer (mCRPC), budgetary impact is a con cern for health plan decision makers. Budget impact models (BIMs) are becoming a requirement in many countries as part of formulary approval or reimbursement decisions. Cabazitaxel is a second-generation taxane developed to overcome resistance to docetaxel and is approved for the treatment of patients with mCRPC previously treated with a docetaxel containing regimen. OBJECTIVE: To estimate a 1-year projected budget impact of varying utili zation rates of cabazitaxel as a second-line treatment for mCRPC following docetaxel, using a hypothetical U.S. private managed care plan with 1 mil lion members. METHODS: A BIM was developed to evaluate costs for currently available treatment options for patients with mCRPC previously treated with docetaxel. Treatments included in the model were cabazitaxel, abiraterone acetate, enzalutamide, and radium-223, with utilization rates derived from market research data. Medication costs were calculated according to published pricing benchmarks factored by dosing and duration of therapy as stated in the prescribing information for each agent. Published rates and costs of grade 3-4 adverse events were also factored into the model. In addition, the model reports budget impact under 2 scenarios. In the first base-case scenario, patient out-of-pocket costs were subtracted from the total cost of treatment. In the second scenario, all treatment costs were assumed to be paid by the plan. RESULTS: In a hypothetical 1 million-member health plan population, 100 patients were estimated to receive second-line treatment for mCRPC after treatment with docetaxel. Using current utilization rates for the 4 agents of interest, the base-case scenario estimated the cost of second-line treat ment after docetaxel to be $6,331,704, or $0.528 per member per month (PMPM). In a scenario where cabazitaxel use increases from the base-rate case of 24% to a hypothetical rate of 33%, the PMPM cost would decrease to $0.524, reflecting a cost saving of $0.004 PMPM and equating to incre mental savings of $49,546, or $497 per patient per year (PPPY). In the second scenario, when out-of-pocket costs were not considered, the cost of second-line treatment after docetaxel was estimated as $6,733,594, or $0.561 PMPM. With a hypothetical increase in cabazitaxel use (24%-33%), the PMPM cost would decrease to $0.554, reflecting savings of $0.007 PMPM and equating to incremental savings of $86,136, or $864 PPPY. The primary driver of cost savings with increased cabazitaxel use was lower acquisition cost. One-way sensitivity analyses revealed that the model results were robust over a wide range of input values (utilization, preva lence, and population parameters). CONCLUSION: In the presented BIM, an increase in cabazitaxel use is expected to result in modest cost savings to the health plan. Patient coinsur_x0002_ance savings may also be realized based on applicable Medicare Part B and Part D calculations. This BIM presents an objective, comprehensive, robust, and user-adaptable tool that health plans and medical decision makers may use to evaluate potential economic impact of formulary and reimbursement decisions.</t>
  </si>
  <si>
    <t xml:space="preserve"> Cabazitaxel</t>
  </si>
  <si>
    <t>Abiraterone</t>
  </si>
  <si>
    <t>Budget Impact of Enzalutamide for Chemotherapy-Naïve Metastatic Castration-Resistant Prostate Cancer</t>
  </si>
  <si>
    <t>Results indicate a modest 1-year budget impact of adopting enzalutamide for chemotherapy-naïve mCRPC patients, partly because of the cost offset of a moderate incidence of adverse events and lack of additional required monitoring.</t>
  </si>
  <si>
    <t>Bui, C</t>
  </si>
  <si>
    <t>BACKGROUND: Prostate cancer is expected to account for approximately one quarter of all new diagnoses of cancer in American men in 2015. The cost of prostate cancer care is expected to reach $15.1 billion by the year 2020, up from $11.9 billion in 2010. Given the high burden of prostate cancer, health care payers are interested in quantifying the potential budget impact of new therapies. OBJECTIVE: To estimate the budget impact of enzalutamide for the treatment of chemotherapy-naïve metastatic castration-resistant prostate cancer (mCRPC) from a U.S. payer perspective. METHODS: A model was developed to assess the budget impact of enzalutamide for treatment of chemotherapy-naïve mCRPC patients in a hypothetical 1-million-member U.S. health plan over a 1-year time horizon. Comparators included abiraterone acetate, sipuleucel-T, radium Ra 223 dichloride, and docetaxel. Epidemiologic data, including National Cancer Institute Surveillance, Epidemiology, and End Results (SEER) incidence rates, were used to estimate the number of chemotherapy-naïve mCRPC patients. Dosing, administration, duration of therapy, and adverse event rates were based on package inserts and pivotal studies. Drug costs were obtained from RED BOOK and Centers for Medicare &amp; Medicaid Services (CMS) average sales price pricing files, costs of administration and monitoring from the CMS physician fee schedule, and adverse events from the Agency for Healthcare Research and Quality Healthcare Cost and Utilization Project and published literature. Market shares were estimated for each comparator before and after adoption of enzalutamide. The incremental aggregate budget impact, per patient per year (PPPY), per patient per month (PPPM), and per member per month (PMPM), was calculated. One way sensitivity analyses were performed. RESULTS: In a population of 115 chemotherapy-naïve mCRPC patients, adopting enzalutamide had an annual incremental budget impact of $510,641 ($4,426 PPPY, $369 PPPM, and $0.04 PMPM). Results were most sensitive to enzalutamide drug cost, size of the chemotherapy-naïve mCRPC patient population, and enzalutamide adoption rate. CONCLUSIONS: Results indicate a modest 1-year budget impact of adopting enzalutamide for chemotherapy-naïve mCRPC patients, partly because of the cost offset of a moderate incidence of adverse events and lack of additional required monitoring.</t>
  </si>
  <si>
    <t xml:space="preserve"> Sipuleucel-T</t>
  </si>
  <si>
    <t xml:space="preserve">Docetaxel </t>
  </si>
  <si>
    <t xml:space="preserve">Unit costs of comparator drugs: Centers for Medicare &amp; Medicaid Services
Wholesale acquisition cost: RED BOOK
Administration costs: Medicare reimbursement for chemotherapy administration for a 1-hour infusion (Current Procedural Terminology code 96413)
Pretreatment and concomitant medication costs: ASP
Adverse event costs: Healthcare Cost and Utilization Project Nationwide Inpatient Sample </t>
  </si>
  <si>
    <t>The value of anticancer drugs in metastatic castrate-resistant prostate cancer: economic tools for the community oncologist</t>
  </si>
  <si>
    <t>A simplified drug model to weigh cost, survival, and HR with imposed limits on cost/outcome was proposed and applied to patients with mCRPC. The results among that patient population suggested that generic docetaxel had the lowest costs, cost/outcome and the highest RV. Sipuleucel-T, abiraterone, enzalutamide, radium-223 dichloride, and cabazitaxel were overpriced for their values. Drugs with RVs of &lt;0.5 should be scrutinized, costs negotiated, or other drugs considered, and those with RVs of &lt;0.25, rejected.</t>
  </si>
  <si>
    <t>Guirgis, H</t>
  </si>
  <si>
    <t>Background: Community oncologists need a simplified methodology for assessing the value of anticancer drugs. In the United States and Europe, costs of anticancer drug were previously estimated at US$50,000 to &gt;US$100,000 per quality adjusted life year (QALY). The National Institute for Health and Care Excellence in the United Kingdom states that the average cost-effectiveness ratios intervention of &gt;US$50,000 per QALY must be questioned. Objectives: To design a drug model to estimate the amount in United States dollars (US$) paid for life-year gain (LYG) and QALY, and to apply that model in the treatment of chemo-naïve and chemo-treated patients with castrate-resistant metastatic prostate cancer (mCRPC). Methods: Cost per LYG (cost/LYG) was compared with cost per probability of survival (cost/PoS) calculated as [1.0 minus HR]. Results were expressed in relative values (RV) calculated as US$50,000 or US$100,000 per cost/outcome. Results: In patients with mCRPC, generic docetaxel demonstrated the lowest cost/LYG (US$26,330), lowest cost/ PoS (US$21,942), and the highest RV (3.80-4.56). Cost/LYG of sipuleucel-T was US$272,195, with an RV of 0.37. Significant variation between cost/LYG and cost/ PoS was noted among drugs with borderline survival and HR. In previously treated patients, the cost/LYG of cabazitaxel was US$207,240; of abiraterone, US$194,087; enzalutamide, US$223,500; and radium-223 dichloride, US$230,000, all with RVs &lt;0.5. Conclusion: A simplified drug model to weigh cost, survival, and HR with imposed limits on cost/outcome was proposed and applied to patients with mCRPC. The results among that patient population suggested that generic docetaxel had the lowest costs, cost/outcome and the highest RV. Sipuleucel-T, abiraterone, enzalutamide, radium-223 dichloride, and cabazitaxel were overpriced for their values. Drugs with RVs of &lt;0.5 should be scrutinized, costs negotiated, or other drugs considered, and those with RVs of &lt;0.25, rejected.</t>
  </si>
  <si>
    <t xml:space="preserve"> Cabazitaxel </t>
  </si>
  <si>
    <t xml:space="preserve"> Ra-223</t>
  </si>
  <si>
    <t>Cost of drugs: Average Wholesale Prices
The overall survival gain over control in days (OSg) and HR of death: previously published data</t>
  </si>
  <si>
    <t>Cost-Savings Analysis of AR-V7 Testing in Patients With Metastatic Castration-Resistant Prostate Cancer Eligible for Treatment With Abiraterone or Enzalutamide</t>
  </si>
  <si>
    <t xml:space="preserve">Introduction: Identification of cancer biomarkers that inform clinical decisions and reduce the use of ineffective therapies is a major goal of precision oncology. An abnormal splice variant of the androgen receptor, AR-V7, was recently found to confer resistance to novel hormonal therapies (abiraterone and enzalutamide) in men with metastatic castration-resistant prostate cancer (mCRPC), but did not negatively affect responses to taxane chemotherapies, suggesting that early use of chemotherapy may be a more effective option for AR-V7(+) patients. Methods: We calculated the cost savings of performing AR-V7 testing in mCRPC patients prior to starting abiraterone/enzalutamide (and avoiding these drugs in AR-V7(+) men) versus treating all mCRPC patients empirically with abiraterone/enzalutamide (without use of the biomarker). Results: We determined that AR-V7 testing would result in substantial cost savings as long as the true prevalence of AR-V7 was &gt;5%. In our prior studies, we estimated that approximately 30% of mCRPC patients may have detectable AR-V7 in circulating tumor cells (CTCs). In this population, upfront testing of AR-V7 status (at a price of $1,000 per test) would result in a net cost savings of $150 Million in the United States per year. Conclusions: AR-V7 testing in mCRPC patients would be cost-beneficial when considering the current price of treatment, and may reduce the ineffective use of abiraterone/enzalutamide, leading to a significant net cost savings to the healthcare system. Clinical-grade AR-V7 testing is currently available at our institution. </t>
  </si>
  <si>
    <t>Markowski, M</t>
  </si>
  <si>
    <t xml:space="preserve">Cost Savings From AR-V7 Testing in mCRPC Patients in the United States Per Year (n=30000):
Cost per AR-V7 assay = $1,000
Abiraterone/enzalutamide cases avoided = 9,000
Cost per abiraterone/enzalutamide avoided = $20,000
Expenditures on abiraterone/enzalutamide avoided = $180,000,000
Cost of testing entire population for AR-V7 = $30,000,000
Net cost savings = $150,000,000
</t>
  </si>
  <si>
    <t>The cost of either abiraterone or enzalutamide was assumed to be $20,000 USD for a 3-month drug supply
The cost of the AR-V7 assay was assumed to be $1,000 USD
Each AR-V7(+) patient treated with abiraterone or enzalutamide would be considered a $20,000 USD loss without a corresponding clinical benefit</t>
  </si>
  <si>
    <t xml:space="preserve">Abiraterone-Cost-2013: $469,537,430, Abiraterone-Cost-2014: $707,097,865, Abiraterone-Cost-2015: $790,008,643, Abiraterone-Cost-2016: $823,026,651
Abiraterone-Cost/beneficiary-2013: $33,096, Abiraterone-Cost/beneficiary-2014: $41,487, Abiraterone-Cost/beneficiary-2015: $46,572, Abiraterone-Cost/beneficiary-2016: $50,657
Abiraterone-Cost/claim-2013: $6,574, Abiraterone-Cost/claim-2014: $7,181, Abiraterone-Cost/claim-2015: $7,871, Abiraterone-Cost/claim-2016: $8,506
Enzalutamide-Cost-2013: $231,402,020, Enzalutamide-Cost-2014: $447,311,084, Enzalutamide-Cost-2015: $790,628,577, Enzalutamide-Cost-2016: $907,560,035
Enzalutamide-Cost/beneficiary-2013: $31,586, Enzalutamide-Cost/beneficiary-2014: $37,908, Enzalutamide-Cost/beneficiary-2015: $46,752, Enzalutamide-Cost/beneficiary-2016: $51,018
Enzalutamide-Cost/claim-2013: $7,825, Enzalutamide-Cost/claim-2014: $8,287, Enzalutamide-Cost/claim-2015: $8,774, Enzalutamide-Cost/claim-2016: $8,988
Total cost (Abiraterone vs. Enzalutamide ): $2,789,670,589 vs. $2,376,901,716
</t>
  </si>
  <si>
    <t>These payments are inclusive of the cost of the medication itself, dispensing fees, sales tax, and administration fees</t>
  </si>
  <si>
    <t>Total drug cost: Medicare Part D Prescriber Public Use File</t>
  </si>
  <si>
    <t>Caram, M</t>
  </si>
  <si>
    <t>Cost of treatment: 157,720.8 (net), 157,720.8 (gross)
Cost of AE, mean (min-max): 2,480.6 (2,114.9-3,230.6)
Cost of SREs, mean (min): 10,848.9 (9,735.5)</t>
  </si>
  <si>
    <t>Model: Markov microsimulation model, Cost model analysis, Perspective: Italian National Health Service (NHS), Time horizon: 1 year</t>
  </si>
  <si>
    <t>Costs associated with mCRPC: literature review</t>
  </si>
  <si>
    <t>Restelli, U</t>
  </si>
  <si>
    <t>Wen, L</t>
  </si>
  <si>
    <t>Monthly pharmacy costs: mean (SD): $4618 ($3150), median (range): $7391 ($0-$17,664)
Monthly medical costs: mean (SD): $4817 ($5765), median (range): 2601 ($0-$38,475)
Monthly total costs: mean (SD): $9435 ($5457), median (range): $8799 ($592-$38,475)</t>
  </si>
  <si>
    <t>The total healthcare costs: from medical and pharmacy claims, Medical Consumer Price Index</t>
  </si>
  <si>
    <t>Koninckx, M</t>
  </si>
  <si>
    <t xml:space="preserve"> Monthly treatment cost for AA = €2712.0
 Cost per median PFS month = €3013.3 
 Costs per median OS = €1143.6</t>
  </si>
  <si>
    <t>The costs per median PFS month and per median OS month were calculated following the method used by Pilon et al
Cost of AA: pharmaceutical provider for our institution, not refecting any type of discount, and it was expressed as selling price plus  4% VAT</t>
  </si>
  <si>
    <t>Enzalutamide-Total healthcare cost (all causes), mean ± SD = $14,934 ± 12,391
Enzalutamide-Total healthcare cost (prostate cancer-relateds), mean ± SD = $11,598 ± 7974
Enzalutamide-Pharmacy cost, mean ± SD = $7194 ± 3154
Abiraterone acetate-Total healthcare cost (all causes), mean ± SD = $14,691 ± 16,094
Abiraterone acetate-Total healthcare cost (prostate cancer-relateds), mean ± SD = $10,975 ± 12,051
Abiraterone acetate-Pharmacy cost, mean ± SD = $6141 ± 2665</t>
  </si>
  <si>
    <t>Costs for patients with mCRPC treated with enzalutamide and abiraterone acetate using administrative claims data</t>
  </si>
  <si>
    <t>Ellis, L</t>
  </si>
  <si>
    <t>Ellis_AHDB_2015
(dataset 1)</t>
  </si>
  <si>
    <t>Ellis_AHDB_2015
(dataset 2)</t>
  </si>
  <si>
    <t>Ellis_AHDB_2015 
(dataset 3)</t>
  </si>
  <si>
    <t>Abiraterone acetate-monthly treatment cost, mean ± SD: $5756 ± 1485
Enzalutamide-monthly treatment cost, mean ± SD: $5756 ± 1485</t>
  </si>
  <si>
    <t>Abiraterone acetate-monthly treatment cost, mean ± SD: $6171 ± 880
Enzalutamide-monthly treatment cost, mean ± SD: $7549 ± 979</t>
  </si>
  <si>
    <t>Abiraterone acetate-monthly treatment cost, mean ± SD: $6412 ± 774
Enzalutamide-monthly treatment cost, mean ± SD: $7661 ± 1006</t>
  </si>
  <si>
    <t>Costs: claims databases, the Symphony Health Solutions’ Patient Transactional Datasets, the IMS PharMetrics Plus database, and the Truven Health Market_x0002_Scan Research Database</t>
  </si>
  <si>
    <t>Claim costs: Medicare 5% sample and MarketScan® Commercial (2010−2013) claims data sets
Other costs: adjusted to 2015 values using the national average annual unit cost increase</t>
  </si>
  <si>
    <t>The average cost per episode on docetaxel infusion days- Medicare =  $28,792
The average cost per episode of Docetaxel claims- Medicare = $2,588
The average cost per episode of non-docetaxel infused or injected drugs- Medicare = $3,140
The average cost per episode of outpatient facility- Medicare = $1,244
The average cost per episode of outpatient professional- Medicare = $1,462
Other costs- Medicare = $143
The average cost per episode on docetaxel infusion days- commercial = $67,958
The average cost per episode of Docetaxel claims- commercial = $13,169 
The average cost per episode of non-docetaxel infused or injected drugs- commercial = $8,687
The average cost per episode of outpatient facility- commercial = $3,302
The average cost per episode of outpatient professional- commercial = $2,501 
Other costs- commercial = $241</t>
  </si>
  <si>
    <t xml:space="preserve"> Armstrong, A</t>
  </si>
  <si>
    <t xml:space="preserve">Median pharmacy costs-MarketScan pre-index period = $785 (IQR=$98-$1,619) 
Median pharmacy costs-MarketScan post-index period = $40,624 (IQR=$661-$51,150) 
Median pharmacy costs-PharMetrics pre-index period = $400 (IQR=$87-$1,412)
Median pharmacy costs-PharMetrics post-index period = $24,093 (IQR=$629-$44,449) 
Median medical costs-MarketScan pre-index period = $13,809 (IQR= $4,085-$23,271) 
Median medical costs-MarketScan post-index period = $28,241 (IQR= $6,912-$66,504) 
Median medical costs-PharMetrics pre-index period = $14,821 (IQR=$8,232-$26,532) 
Median medical costs-PharMetrics post-index period = $42,648 (IQR=$16,675-$101,300)
Median treatment PPPM cost-MarketScan pre-index period = $2,643 (IQR=$850-$4,357) 
Median treatment PPPM cost-MarketScan post-index period = $11,598 (IQR=$6,840-$16,627)
Median treatment PPPM cost-PharMetrics pre-index period = $2,742 (IQR=$1,484-$4,730) 
Median treatment PPPM cost-PharMetrics post-index period = $11,601 (IQR= $8,577-$18,362) </t>
  </si>
  <si>
    <t>Costs: Medicare-insured U.S. integrated claims databases, Truven Health MarketScan and IMS LifeLink PharMetrics Plus</t>
  </si>
  <si>
    <t>Drug costs: Academy of Managed Care Pharmacy Guide to Pharmaceutical Payment Methods Version 3.0
Patient Out-of-Pocket Costs for Injected Treatments:  2015 Medicare Part B (for cabazi_x0002_taxel and radium-223) and Part D (for abiraterone acetate and enzalutamide) Standard Drug Benefit structures
AE costs: Consumer Price Index</t>
  </si>
  <si>
    <t>Markowski_Prostate_2016</t>
  </si>
  <si>
    <t>Patients with mCRPC who have found to have or not AR-V7(+) in circulating tumor cells</t>
  </si>
  <si>
    <t>Caram_Urology_2019</t>
  </si>
  <si>
    <t>Patients taking abiraterone and enzalutamide for the treatment of mCRPC</t>
  </si>
  <si>
    <t>Restelli_CMR_2017</t>
  </si>
  <si>
    <t>Subjects affected by mCRPC in Italy</t>
  </si>
  <si>
    <t>Wen_AHDB_2019</t>
  </si>
  <si>
    <t>Patients with mCRPC who are on abiraterone acetate, enzalutamide, sipuleucel-T, radium-223 dichloride, cabazitaxel or docetaxel</t>
  </si>
  <si>
    <t>Koninckx_CTO_2019</t>
  </si>
  <si>
    <t>mCRPC patients who were referred to the Pharmacy Department and initiated abiraterone acetate</t>
  </si>
  <si>
    <t>Schultz_AT_2018</t>
  </si>
  <si>
    <t>Prostate cancer patients with at least one pharmacy claim for enzalutamide or abiraterone acetate</t>
  </si>
  <si>
    <t>Patients with at least 1 diagnosis of prostate cancer (ICD-9-CM, 185.xx) within 12 months before the index date</t>
  </si>
  <si>
    <t>Armstrong_CMRO_2017</t>
  </si>
  <si>
    <t>Patients with at least 1 diagnosis of prostate cancer (ICD-9-CM, 185.xx)</t>
  </si>
  <si>
    <t>Wen_JMCSP_2019</t>
  </si>
  <si>
    <t>Patients with at least 1 primary or secondary diagnosis of prostate cancer (ICD-9-CM code 185.xx) and a claim for at least 1 FDA-approved treatment for mCRPC</t>
  </si>
  <si>
    <t>AR-V7 testing in mCRPC patients would be cost-beneficial when considering the current price of treatment, and may reduce the ineffective use of abiraterone/enzalutamide, leading to a significant net cost savings to the healthcare system. Clinical-grade AR-V7 testing is currently available at our institution.</t>
  </si>
  <si>
    <t>Patients with mCRPC who have found to have or not AR-V7(+) CTCs</t>
  </si>
  <si>
    <t>Urologists are increasingly prescribing oral therapies for metastatic castration-resistant prostate cancer. Understanding the distribution of urologists specializing in castration-resistant prostate cancer therapeutics will help guide future interventions to optimize the care for this important patient population.</t>
  </si>
  <si>
    <t>Patients taking abiraterone and enzalutamide for the treatment of metastatic castration-resistant prostate cancer, a disease most commonly treated by medical oncologist</t>
  </si>
  <si>
    <t>The analysis, reflective of real clinical practice, shows for the first time the high economic cost of metastatic castration-resistant prostate cancer (mCRPC) in Italy.</t>
  </si>
  <si>
    <t xml:space="preserve">The most common first-line treatment for patients with commercial or Medicare coverage who had metastatic castration-resistant prostate cancer (mCRPC) was abiraterone or enzalutamide. Hormone therapies used as monotherapy were the most frequently used treatment, and their concomitant administration with other treatments was the second most common treatment pattern. </t>
  </si>
  <si>
    <t>The patients were required to have received an FDA-approved treatment for metastatic CRPC (ie, abiraterone acetate, enzalutamide, sipuleucel-T, radium-223 dichloride, cabazitaxel or docetaxel). Male patients aged 55 to 89 years at the index date who were enrolled in commercial or Medicare plans and had continuous insurance coverage during the study period were included in the study. Continuous health plan eligibility and enrollment during a 12-month preindex observation period were required.</t>
  </si>
  <si>
    <t>Chemotherapy-naïve patients treated with abiraterone acetate obtained a better clinical benefit in terms of effectiveness, safety and costeffectiveness  ratio than post-chemotherapy patients. The effectiveness outcomes were poorer than those reported previously in the clinical trial setting</t>
  </si>
  <si>
    <t>mCRPC patients who were referred to the Pharmacy Department and initiated abiraterone acetate between January 1, 2012 and December 31, 2017, were included.</t>
  </si>
  <si>
    <t>Chemotherapy-naive mCRPC patients treated with enzalutamide versus abiraterone acetate had longer treatment duration and incurred lower HRU and prostate cancerrelated inpatient and emergency department costs</t>
  </si>
  <si>
    <t>Male patients were included in this study if they had at least one pharmacy claim for enzalutamide or abiraterone acetate on or after 1 September 2012 (the earliest time both treatments were commercially available in the USA). Eligible patients were at least 18 years old at the index date and were required to have a unique index treatment (i.e., they did not initiate enzalutamide/abiraterone acetate combination on the same day). Additionally, patients were required to have at least one prostate cancer diagnosis [International Classification of Disease, Ninth Revision, Clinical Modification (ICD-9-CM) code 185 or Tenth Revision code C61] during the 6 months before the index date and at least two prostate cancer diagnoses on distinct dates in the entire claims history; continuous enrollment for at least 6 months before and at least 3 months after the index date; and no claims for cytotoxic chemotherapy in the entire claims history before the index date. Continuous enrollment was defined as having no gap between periods of enrollment.</t>
  </si>
  <si>
    <t>Abiraterone acetate was more frequently administered for patients with mCRPC than enzalutamide. The concomitant use of corticosteroids was common in patients receiving first-line abiraterone acetate or first-line enzalutamide therapy. Patients receiving abiraterone acetate had significantly lower monthly pharmacy costs than patients receiving enzalutamide. These findings may facilitate the estimation of the budgetary impact of a treatment mix for population health and for managed care stakeholders</t>
  </si>
  <si>
    <t xml:space="preserve">Enrolled patients were required to have at least 1 diagnosis of prostate cancer (ICD-9-CM, 185.xx) within 12 months before the index date, be aged ≥18 years, and have at least 12 months of continuous clinical activity (data set 1) or continuous eligibility (data sets 2 and 3) before the index date. </t>
  </si>
  <si>
    <t>The majority of docetaxel episode costs in Medicare and commercial metastatic castration-resistant prostate cancer (mCRPC) populations were non-docetaxel drug costs.</t>
  </si>
  <si>
    <t>1. Men with prostate cancer as those with ≥1 claim in 2011, coded in any position of the claim with the International Classification of Diseases, Ninth Revision (ICD-9) diagnosis code 185. 
2. mCRPC study populations to have eligibility in all months of 2010 and ≥1 month of 2011. 
3. Medicare population to have both Parts A and B eligibility enrollment and not to be enrolled in an HMO plan during all months of eligibility.  
4. Commercial population to have pharmacy coverage and excluded contributors with capitated health plans or high-deductible plans.</t>
  </si>
  <si>
    <t>Patients were treated mainly with abiraterone across most lines of care, with radium-223, cabazitaxel, and mitoxantrone as the least utilized therapies. Median costs per patient per month (PPPM) increased by approximately $8,900 after initiation of U.S. Food and Drug Administration (FDA)-approved agents for metastatic castration-resistant prostate cancer (mCRPC), with the largest increase in cost stemming from oral medications.</t>
  </si>
  <si>
    <t xml:space="preserve">Patients from MarketScan and PharMetrics databases were identified as eligible if they were a male with at least 1 primary or secondary diagnosis of PC as determined by the International Classification of Diseases, Ninth Revision, Clinical Modification (ICD-9-CM) for PC (ICD-9-CM code 185.xx) and had a claim for at least 1 FDA-approved treatment for mCRPC during the index period of June 1, 2013, to September 30, 2014. </t>
  </si>
  <si>
    <t>Adoption of Abiraterone and Enzalutamide by Urologists</t>
  </si>
  <si>
    <t xml:space="preserve">Objective: To investigate the adoption of abiraterone and enzalutamide by urologists. Abiraterone and enzalutamide are oral therapies approved for the treatment of metastatic castration-resistant prostate cancer, a disease most commonly treated by medical oncologists. Methods: Using the Medicare Part D Public Use Files from 2013 to 2016, we identified total abiraterone and enzalutamide prescriptions 2013-2016 and urologists who prescribed moderate to high volumes of these drugs. We then characterized the urologist practices of those urologists according to practice context (eg, single-specialty group) using data from the Centers for Medicare and Medicaid Services, and the geographic distribution of those providers. Results: We found abiraterone prescriptions increased from 71,423 in 2013 to a peak of 100,371 in 2015 and enzalutamide prescriptions continued to increase from 29,572 in 2013 to 100,980 in 2016. Prescriptions by urologists increased between 2013 and 2016 while prescriptions by other specialties plateaued. The number of moderate-high prescribing urologists increased from 98 (abiraterone) and 22 (enzalutamide) in 2013, to 301 (abiraterone) and 671 (enzalutamide) by 2016 with 1063 unique urologists prescribing moderate-high volumes of either drug between 2013 and 2016. Among urologists who prescribe androgen deprivation therapy, 5% were moderate-high prescribers of abiraterone and 12% of enzalutamide in 2016. The majority of moderate-high prescribing urologists were in single-specialty groups (70%).
Conclusion: Urologists are increasingly prescribing oral therapies for metastatic castration-resistant prostate cancer. Understanding the distribution of urologists specializing in castration-resistant prostate cancer therapeutics will help guide future interventions to optimize the care for this important patient population. </t>
  </si>
  <si>
    <t>Economic burden of the management of metastatic castrate-resistant prostate cancer in Italy: A cost of illness study</t>
  </si>
  <si>
    <t xml:space="preserve">Background: Prostate cancer (PCa) accounts for 20% of all cancers in subjects over 50 years in Italy. The majority of patients with PCa present with localized disease at the time of diagnosis, but many patients develop recurrent metastatic disease after treatment with curative intent. Androgen deprivation therapy is the standard of care for metastatic PCa patients; unfortunately, most of them progress to castrate-resistant prostate cancer (CRPC) within 5 years. Metastatic CRPC (mCRPC) heavily affects patients in terms of quality of life, side effects, and survival, and greatly impacts economic costs. The approval of new effective agents in recent years, including cabazitaxel, abiraterone acetate, enzalutamide, and radium-223, has dramatically changed patient management. Materials and methods: Here, we aimed to estimate the current costs of illness of mCRPC in Italy. All patients affected by mCRPC and treated with a single agent in an annual time horizon were considered. Therefore, the analysis was not focused on the management pathway of single patients through different lines of treatment. Direct medical costs referred to therapy, adverse event management, and skeletal-related event management were analyzed. A bottom-up approach was used to estimate the resource consumption: through national guidelines and expert opinions, the mean cost per patient was estimated and then multiplied by the total number of patients diagnosed with mCRPC. Results: Direct medical costs ranged from €196.5 million to €228.0 million, representing ~0.2% of the financing of the Italian National Health Service in 2016. The main cost driver was the cost of treatment, which represented more than 77% of the overall economic burden. Conclusion: Our analysis, reflective of real clinical practice, shows for the first time the high economic cost of mCRPC in Italy. </t>
  </si>
  <si>
    <t>Real-world treatment patterns in patients with castrate-resistant prostate cancer and bone metastases</t>
  </si>
  <si>
    <t xml:space="preserve">Background: Prostate cancer is the most frequently diagnosed cancer in men in the United States. There is scant real-world evidence characterizing the care utilization and clinical outcomes associated with the use of therapies currently approved by the US Food and Drug Administration (FDA) for patients with metastatic castrate-resistant prostate cancer (CRPC). Objective: To describe the real-world treatment patterns, healthcare costs, and survival rates of patients with metastatic CRPC and bone metastases who have commercial or Medicare coverage. Methods: This retrospective observational study was conducted using medical and pharmacy claims from the Humana research database for male patients who had Medicare or commercial coverage and were aged 55 to 89 years at the initiation of treatment for metastatic CRPC. Three inclusion criteria were used to identify appropriate patients for the 2 cohorts, including (1) a diagnosis of prostate cancer (International Classification of Diseases, Ninth Revision, Clinical Modification [ICD-9-CM] code 185.x); (2) a diagnosis of bone metastasis (ICD-9-CM code 198.5) between 2013 and 2014; and (3) a healthcare insurance claim indicating a prescription for an FDA-approved first-line treatment for metastatic CRPC. Subsequent lines of treatment were also identified through the healthcare claims data. The 2-year survival rate was calculated and controlled for demographic and clinical characteristics, and the total costs (medical plus pharmacy) were calculated for the 6 months postindex.
Results: A total of 1855 patients met the study inclusion criteria. Of these patients, 660 (35.6%) received at least 1 medication. The patient count by line of treatment was 660 (100%) who received first-line therapy, 380 (57.6%) who received second-line treatment, 204 (30.9%) who received third-line therapy, and 107 (16.2%) who received fourth-line therapy. The medication distribution by line of treatment (using first-, second-, third-, or fourth-line therapy for each drug) was abiraterone acetate (50.5%, 61.3%, 68.6%, 75.7%); enzalutamide (15.6%, 39.2%, 54.4%, 71.0%); sipuleucel-T (9.2%, 13.9%, 20.1%, 20.6%); radium-223 dichloride (1.7%, 2.6%, 7.4%, 13.1%); cabazitaxel (2.3%, 5.5%, 16.2%, 19.6%); and docetaxel (22.1%, 32.1%, 42.6%, 48.6%). The total monthly unadjusted healthcare costs for patients who received an FDA-approved treatment was much higher ($9435) than for patients with metastatic prostate cancer who did not receive an FDA-approved treatment ($5055), and the 2-year survival rate for patients who received an FDA-approved treatment was 57.1% (25th percentile, 250 days; 50th percentile, 541 days). Conclusions: The most common first-line treatment for patients with commercial or Medicare coverage who had metastatic CRPC was abiraterone or enzalutamide. Hormone therapies used as monotherapy were the most frequently used treatment, and their concomitant administration with other treatments was the second most common treatment pattern. Additional clinical studies are needed to further elucidate the treatment sequencing for patients with metastatic CRPC. </t>
  </si>
  <si>
    <t>Effectiveness, safety and cost of abiraterone acetate in patients with metastatic castration-resistant prostate cancer: a real-world data analysis</t>
  </si>
  <si>
    <t xml:space="preserve">Purpose: New therapies with diverse mechanisms of action are available for metastatic castration-resistant prostate cancer (mCRPC). This study aims to evaluate the effectiveness, safety and cost of abiraterone acetate (AA) in patients with mCRPC. Materials and methods: Observational retrospective cohort study in which mCRPC patients who initiated AA between January 1, 2012 and December 31, 2017, were included. The patients were followed-up until death or March 31, 2018. Demographic, clinical and economic data were collected from the corporate electronic information systems. Survival distributions were estimated using the Kaplan-Meier method and compared using the log-rank test. Results: A total of 69 mCRPC patients were started on AA, of whom 18 (26.1%) received prior chemotherapy (post-CT) and 51 (73.9%) did not receive it (CT-naïve). A PSA decline of ≥ 50% was achieved in five (27.8%) post-CT and 32 (62.7%) CT-naïve patients (p = 0.011). Median time to PSA progression, progression-free survival (PFS) and overall survival (OS) were 4.4/7.9 months (p = 0.003), 5.1/7.5 months (p = 0.034) and 12.1/21.3 months (p = 0.119), respectively, for post-CT/CT-naïve patients. Treatment-related adverse events (AEs) occurred in 10 (55.6%) post-CT and 11 (21.6%) CT-naïve patients (p = 0.007). The most common AEs were hypokalaemia (11.6%), hypertension (8.7%) and fatigue (5.8%). The cost per median PFS month and per median OS month was €2818.4/€2784.3 and €1187.9/€980.4 for post-CT/CT-naïve patients, respectively. Conclusions: CT-naïve patients treated with AA obtained a better clinical benefit in terms of effectiveness, safety and cost-effectiveness ratio than post-CT patients. The effectiveness outcomes were poorer than those reported previously in the clinical trial setting. </t>
  </si>
  <si>
    <t>Treatment Duration, Healthcare Resource Utilization, and Costs Among Chemotherapy-Naive Patients with Metastatic Castration-Resistant Prostate Cancer Treated with Enzalutamide or Abiraterone Acetate: A Retrospective Claims Analysis</t>
  </si>
  <si>
    <t>Introduction: Enzalutamide and abiraterone acetate (plus prednisone) are new hormonal treatments for metastatic castration-resistant prostate cancer (mCRPC). This study compared treatment duration, healthcare resource utilization (HRU), and treatment costs for chemotherapy-naïve mCRPC patients treated with enzalutamide or abiraterone acetate in the USA. Methods: Chemotherapy-naïve mCRPC patients initiating treatment with enzalutamide or abiraterone acetate were identified from administrative claims. Continuous enrollment ≥ 6 months before and ≥ 3 months after the index date (initiation date of enzalutamide or abiraterone acetate) was required. Treatment duration, all-cause and prostate cancer-related HRU, and costs were estimated during the post-index period. Multivariable analyses compared HRU and costs between cohorts, adjusting for baseline characteristics. Results: Overall, 920 chemotherapy-naïve patients initiated enzalutamide and 2310 initiated abiraterone acetate (median follow-up, 10.7 and 13.5 months, respectively). More enzalutamide-treated patients had corticosteroid-sensitive comorbidities at baseline. Treatment duration was longer with enzalutamide versus abiraterone acetate (median, 10.7 vs. 8.8 months; P = 0.008). Enzalutamide was associated with fewer all-cause inpatient admissions [adjusted incidence rate ratio (95% confidence interval) 0.87 (0.76, 0.99)], days of hospitalization [0.84 (0.70, 1.02)], and outpatient visits [0.94 (0.90, 0.98)], and fewer prostate cancer-related outpatient visits [0.92 (0.87, 0.96)] compared with abiraterone acetate. Enzalutamide was also associated with lower prostate cancer-related inpatient and emergency department costs [adjusted differences, $122 (P = 0.024) and $28 (P = 0.009), respectively]. Conclusion: Chemotherapy-naïve mCRPC patients treated with enzalutamide versus abiraterone acetate had longer treatment duration and incurred lower HRU and prostate cancer-related inpatient and emergency department costs.</t>
  </si>
  <si>
    <t>Treatment sequences and pharmacy costs of 2 new therapies for metastatic castration-resistant prostate cancer</t>
  </si>
  <si>
    <t>Background: The approval of new therapies for metastatic castration-resistant prostate cancer (mCRPC), including the oral agents abiraterone acetate and enzalutamide, has altered the standard of care for patients with mCRPC. Little information exists regarding the sequences in which new therapies for mCRPC with evidence of survival benefits are used. Objective: To describe the sequence of medication use for patients with mCRPC as observed in 3 healthcare data sets. Methods: Three healthcare claims data sets were used to identify patients with mCRPC who had no previous use of and were newly initiating 1 of the 2 oral study drugs (ie, abiraterone acetate or enzalutamide). The index date was the first study drug claim after September 1, 2012. Patients were followed until the data cutoff or until being lost to follow-up. Descriptive statistics summarized the proportion of patients receiving 1 line of therapy versus ≥2 lines of therapy. The use of a corticosteroid and the mean monthly pharmacy costs of abiraterone acetate or enzalutamide during the follow-up period were compared between the cohorts. Results: A total of 3525 patients with mCRPC were identified from data set 1, 499 patients from data set 2, and 1949 patients from data set 3. The first-line use of abiraterone acetate was observed in 74%, 82%, and 80% of data sets 1, 2, and 3, respectively, and the first-line use of enzalutamide was seen in 26%, 18%, and 20%, respectively, of these same populations. The concomitant use of corticosteroids was observed in patients receiving first-line abiraterone acetate and in patients receiving first-line enzalutamide in all 3 data sets. After September 2012, abiraterone acetate was the most frequently administered therapy for mCRPC among the 2 oral agents, abiraterone acetate and enzalutamide. The monthly pharmacy costs associated with abiraterone acetate were significantly lower than those associated with enzalutamide in all 3 data sets. Conclusions: Based on the data used in this study, abiraterone acetate was more frequently administered for patients with mCRPC than enzalutamide. The concomitant use of corticosteroids was common in patients receiving first-line abiraterone acetate or first-line enzalutamide therapy. Patients receiving abiraterone acetate had significantly lower monthly pharmacy costs than patients receiving enzalutamide. These findings may facilitate the estimation of the budgetary impact of a treatment mix for population health and for managed care stakeholders.</t>
  </si>
  <si>
    <t>Docetaxel chemotherapy in metastatic castration-resistant prostate cancer: cost of care in Medicare and commercial populations</t>
  </si>
  <si>
    <t>Objective: To estimate the healthcare costs and characteristics of docetaxel chemotherapy episodes of care for men with metastatic castration-resistant prostate cancer (mCRPC). Methods: This study used the Medicare 5% sample and MarketScan Commercial (2010-2013) claims data sets to identify men with mCRPC and initial episodes of docetaxel treatment. Docetaxel episodes included docetaxel claim costs from the first claim until 30 days after the last claim, with earlier termination for death, insurance disenrollment, or the end of a 24-month look-forward period from initial docetaxel index date. Docetaxel drug claim costs were adjusted for 2011 generic docetaxel introduction, while other costs were adjusted to 2015 values using the national average annual unit cost increase. Results: This study identified 281 Medicare-insured and 155 commercially insured men, with 325 and 172 docetaxel episodes, respectively. The average number of cycles (unique docetaxel infusion days) per episode was 6.9 for Medicare and 6.3 for commercial cohorts. The average cost per episode was $28,792 for Medicare and $67,958 for commercial cohorts, with docetaxel drug costs contributing $2,588 and $13,169 per episode, respectively. The average cost per episode on docetaxel infusion days was $8,577 (30%) for Medicare and $28,412 (42%) for commercial. Non-docetaxel infusion day costs included $7,074 (25%) for infused or injected drugs for Medicare, $10,838 (16%) for commercial cohorts, and $6,875 (24%) and $9,324 (14%) for inpatient admissions, respectively.
Limitations: The applicability is only to the metastatic castration-resistance clinical setting, rather than the metastatic hormone-sensitive setting, and the lack of data on the cost effectiveness of different sequencing strategies of a range of systemic therapies including enzalutamide, abiraterone, radium-223, and taxane chemotherapy. Conclusion: The majority of docetaxel episode costs in Medicare and commercial mCRPC populations were non-docetaxel drug costs. Future research should evaluate the total cost of care in mCPRC.</t>
  </si>
  <si>
    <t>Evaluation of Treatment Patterns and Costs in Patients with Prostate Cancer and Bone Metastases</t>
  </si>
  <si>
    <t xml:space="preserve">Background: There are a lack of guideline recommendations for patients with metastatic castration-resistant prostate cancer (mCRPC) undergoing treatment progression and sequencing. Understanding treatment patterns and associated utilization and costs may help inform stakeholders and guide decision making. Objective: To describe treatment patterns and health care costs in prostate cancer (PC) patients with bone metastases treated with agents approved by the FDA for mCRPC. Methods: 2 large integrated claims databases (MarketScan and PharMetrics) were used to identify males aged ≥ 18 years who were diagnosed and treated for PC (ICD-9-CM code 185.xx or 233.4) with bone metastases (ICD-9-CM code 198.5) from June 2013 to September 2014. Patients were required to be continuously enrolled for ≥ 6 months before and after initiation of treatment with abiraterone, cabazitaxel, docetaxel, enzalutamide, mitoxantrone, radium-223, sipuleucel-T, or other chemotherapy. Study endpoints included lines of therapy, health care resource utilization per patient per month (PPPM), PPPM costs, and mortality rate. Descriptive analysis was completed for the study sample, and survival function was calculated via Kaplan-Meier estimates. Results: There were 953 patients meeting all inclusion criteria in the MarketScan database and 565 patients in the PharMetrics database. The median follow-up time was 18 months (interquartile range [IQR] = 14-23) for MarketScan and 14 months (IQR = 11-18) for PharMetrics. Mean age (SD) was 71 (± 10.7) and 66 (± 9.3) years, respectively. Before mCRPC treatment initiation, patients received palliative radiation therapy and bone antiresorptive therapy. For MarketScan and PharMetrics, respectively, 14.0% and 18.2% of patients received radiation therapy, 36.1% and 40.0% received denosumab; 16.5% and 16.8% received zoledronic acid; and 0.2% and 0.8% received pamidronate. Across both databases, abiraterone was the most commonly received bone metastasis treatment agent across all lines of therapy, except fourth line. Radium-223, cabazitaxel, and mitoxantrone were the least utilized therapies. The median cost PPPM during the post-index period was $10,916 (IQR=$5,334-$13,457) in MarketScan and $10,292 (IQR = $7,245-$14,699) in PharMetrics. The cost PPPM during the 6-month pre-index period was $2,643 (IQR = $850-$4,357) in MarketScan and $2,742 (IQR = $1,484-$4,730) in PharMetrics. Conclusions: Patients were treated mainly with abiraterone across most lines of care, with radium-223, cabazitaxel, and mitoxantrone as the least utilized therapies. Median costs PPPM increased by approximately $8,900 after initiation of FDA-approved agents for mCRPC, with the largest increase in cost stemming from oral medications. </t>
  </si>
  <si>
    <t>ICER/LY (CAB+PRE vs ABI+PRE): dominant
ICUR/QALY (CAB+PRE vs ABI+PRE): $1.5 million
ICER/LY (ENZ vs CAB+PRE): $238,362
ICUR/QALY (ENZ vs CAB+PRE): $103,636
ICER/LY (ENZ vs ABI+PRE): dominant
ICUR/QALY (ENZ vs ABI+PRE): dominant
Lifetime costs (ABI+PRE): $115,433
Lifetime costs (CAB+PRE): $85,377
Lifetime costs (ENZ): $109,213
LYs (ABI+PRE): 1.20
LYs (CAB+PRE): 1.48
LYs (ENZ): 1.58
QALYs (ABI+PRE): 0.58
QALYs (CAB+PRE): 0.56
QALYs (ENZ): 0.79</t>
  </si>
  <si>
    <t>Model: Markov-state transition model, Health states: progression-free, progression, death, Perspective: United States healthcare payer perspective, Time horizon: lifetime, Discount: 3%, Cycle length: 7 days</t>
  </si>
  <si>
    <t>Massoudi_JME_2017</t>
  </si>
  <si>
    <t>Incremental cost per additional patient free of progression or death: enzalutamide dominant
Incremental cost per additional patient delaying chemotherapy: enzalutamide dominant
Incremental cost per additional patient avoiding death: enzalutamide dominant
Number needed to treat (NNT) for free of progression or death (enzalutamide vs abiraterone + prednisone): 14
NNT for chemotherapy delayed (enzalutamide vs abiraterone + prednisone): 26
NNT for death avoided (enzalutamide vs abiraterone + prednisone): 91
Total costs (enzalutamide): $94,440 
Total costs (abiraterone + prednisone): $97,105
Drug cost (enzalutamide): $77,791 
Drug cost (abiraterone + prednisone): $70,911
Monitoring cost (enzalutamide): $697
Monitoring cost (abiraterone + prednisone): $933
Adverse-event-related cost (enzalutamide): $1,361
Adverse-event-related cost (abiraterone + prednisone): $4,011
Post-progression cost (enzalutamide): $13,142
Post-progression cost (abiraterone + prednisone): $19,608
End-of-life cost (enzalutamide): $1,449
End-of-life cost (abiraterone + prednisone): $1,643</t>
  </si>
  <si>
    <t>Model: NR, Health states: NR, Perspective: US third-party payer perspective, Time horizon: 1 year, Discount: NR, Cycle length: NR</t>
  </si>
  <si>
    <t>Andronis_BJUI_2017</t>
  </si>
  <si>
    <t>Total costs (ZA vs no ZA): £12,667 vs £12,417
Total QALYs (ZA vs no ZA): 0.908 vs 0.876
ICER/QALY (ZA vs no ZA): £8005
Total costs (Sr89 vs no Sr89): £13,230 vs £11,865
Total QALYs (Sr89 vs no Sr89): 0.933 vs 0.852
ICER/QALY (Sr89 vs no Sr89): £16,884</t>
  </si>
  <si>
    <t>Model: CEA, Health states: NR, Perspective: National Health Service, Time horizon: NR, Discount: 3.5%, Cycle length: 3 weeks</t>
  </si>
  <si>
    <t>HTA 2-state model:
Mean difference in costs (D+P vs M+P): £5049
Mean difference in QALY (D+P vs M+P): 0.15437
ICER (D+P vs M+P): £32,706
WinBUGS 2-state model:
Mean difference in costs (D+P vs M+P): £4624
Mean difference in QALY (D+P vs M+P): 0.154
ICER (D+P vs M+P): £30,026
WinBUGS 3-state model:
Mean difference in costs (D+P vs M+P): £5349
Mean difference in QALY (D+P vs M+P): 0.242
ICER (D+P vs M+P): £22,148</t>
  </si>
  <si>
    <t>Model: HTA 2-state Markov model/WinBUGS 2-state Markov model/WinBUGS 3-state Markov model, Health states: 2 state (alive, dead)/3 state (stable disease, progression, death), Perspective: HTA perspective, Time horizon: 15 years, Discount: 3.5%, Cycle length: 1 month</t>
  </si>
  <si>
    <t>Bretoni_COR_2019</t>
  </si>
  <si>
    <t>CEA
ICER (A+P vs ENZ): €-34,529.3
Total costs (A+P): €50,709.25
Total costs (ENZ): €49,673.37
BIM
Treatment duration 16.6 months, 11116 patients
Total costs in 12-month time horizon: €479,747,585
Total costs in 24-month time horizon: €661,315,466
Total costs in 36-month time horizon: €660,420,244
Treatment duration 13.8 months, 11116 patients
Total costs in 12-month time horizon: €479,747,585
Total costs in 24-month time horizon: €549,374,363
Total costs in 36-month time horizon: €549,024,059
Treatment duration 16.6 months, 9902 patients
Total costs in 12-month time horizon: €427,353,418
Total costs in 24-month time horizon: €589,091,916
Total costs in 36-month time horizon: €588,294,464
Treatment duration 13.8 months, 9902 patients
Total costs in 12-month time horizon: €427,353,418
Total costs in 24-month time horizon: €489,376,119
Total costs in 36-month time horizon: €489,064,072
Treatment duration 16.6 months, 11354 patients
Total costs in 12-month time horizon: €490,019,259
Total costs in 24-month time horizon: €675,474,613
Total costs in 36-month time horizon: €674,560,224
Treatment duration 13.8 months, 11354 patients
Total costs in 12-month time horizon: €490,019,259
Total costs in 24-month time horizon: €561,136,786
Total costs in 36-month time horizon: €560,778,982</t>
  </si>
  <si>
    <t>CEA: Model: EUnetHTA Core Model, Health states: NR, Perspective: National Healthcare Service (NHS) perspective, Time horizon: 12 months, Discount: NR, Cycle length: NR. 
BIM: Model: epidemiology-based model, Perspective: NHS perspective, Time horizon: 12, 24, 36 months, Discount: NR</t>
  </si>
  <si>
    <t>Flannery_JMCSP_2017</t>
  </si>
  <si>
    <t>Per person per year (PPPY) costs (ABI): $65,457
Per person per year (PPPY) costs (CAB): $60,650
Per person per year (PPPY) costs (ENZ): $75,088
Per person per year (PPPY) costs (RA): $70,073</t>
  </si>
  <si>
    <t>Model: population-based model, Perspective: US managed care plan perspective, Time horizon: 12 months, Discount: Not applied</t>
  </si>
  <si>
    <t>Bui_JMCSP_2016</t>
  </si>
  <si>
    <t>Total 12-month treatment costs (ENZ): $102,204
Total 12-month treatment costs (ABI): $91,296
Total 12-month treatment costs (SIP): $104,534
Total 12-month treatment costs (RA): $81,780
Total 12-month treatment costs (DOC): $12,354
Total treatment costs (without chemotherapy-naive indication): $6,117,929
Total treatment costs (with chemotherapy-naive indication): $6,628,570
Per patient per year (PPPY) costs (without chemotherapy-naive indication): $53,028
Per patient per year (PPPY) costs (with chemotherapy-naive indication): $57,454
Per patient per month (PPPM) costs (without chemotherapy-naive indication): $4,419
Per patient per month (PPPM) costs (with chemotherapy-naive indication): $4,788
Per member per month (PMPM) costs (without chemotherapy-naive indication): $0.51
Per member per month (PMPM) costs (with chemotherapy-naive indication): $0.55</t>
  </si>
  <si>
    <t>Model: epidemiology-based model, Perspective: US third-party payer perspective, Time horizon: 1 year, Discount: Not applied</t>
  </si>
  <si>
    <t>Guirgis_JCSO_2015</t>
  </si>
  <si>
    <t>Chemo-naive patients:
Costs of docetaxel (10 cycles): $3508
Costs of docetaxel (10 cycles + ancillary costs): $5266
Costs of abiraterone: $74400
Costs of enzalutamide: $89400
Costs of sipuleucel-T: $93000
Overall survival gained for docetaxel: 72 days
Overall survival gained for abiraterone: 132 days
Overall survival gained for enzalutamide: 66 days
Overall survival gained for sipuleucel-T: 123 days
Costs/LY gained for docetaxel (10 cycles): $17,540
Costs/LY gained for docetaxel (10 cycles + ancillary costs): $26,330
Costs/LY gained for abiraterone: $202,910
Costs/LY gained for enzalutamide: $487,636
Costs/LY gained for sipuleucel-T: $272,195
Chemo-treated patients:
Costs of cabazitaxel (6 cycles): $34,350
Costs of cabazitaxel (6 cycles + ancillary costs): $41,448
Costs of cabazitaxel (10 cycles + ancillary costs): $46,180
Costs of abiraterone: $74,400
Costs of enzalutamide: $89,400
Costs of Ra-223: $69,000
Overall survival gained for cabazitaxel: 72 days
Overall survival gained for abiraterone: 138 days
Overall survival gained for enzalutamide: 144 days
Overall survival gained for Ra-223: 108 days
Costs/LY gained for cabazitaxel (6 cycles): $171,750
Costs/LY gained for cabazitaxel (6 cycles + ancillary costs): $207,240
Costs/LY gained for cabazitaxel (10 cycles + ancillary costs): $230,900
Costs/LY gained for abiraterone: $194,087
Costs/LY gained for enzalutamide: $223,500
Costs/LY gained for Ra-223: $230,000</t>
  </si>
  <si>
    <t>Model: Drug-value model, Perspective: UK and US perspectives</t>
  </si>
  <si>
    <t>1, 2</t>
  </si>
  <si>
    <t>Sun_IJU_2016</t>
  </si>
  <si>
    <t>4, 5</t>
  </si>
  <si>
    <t>6, 7, 8</t>
  </si>
  <si>
    <t>14, 15</t>
  </si>
  <si>
    <t>Dataset 1</t>
  </si>
  <si>
    <t>Dataset 2</t>
  </si>
  <si>
    <t>Dataset 3</t>
  </si>
  <si>
    <t>Observational study and cost model analysis</t>
  </si>
  <si>
    <t>Retrospective, database analysis</t>
  </si>
  <si>
    <t>Retrospective observational, cohort study</t>
  </si>
  <si>
    <t>Retrospective, database analysis, Perspective: physician’s perspective</t>
  </si>
  <si>
    <t>mCRPC patients had received previous androgen-deprivation therapy</t>
  </si>
  <si>
    <t>https://ln4.sync.com/dl/619bedee0/g4pbcqmy-5xf8aw8b-7crq4brg-ftpx2ww6
https://ln4.sync.com/dl/7397c5830/sigae5zp-fag3pvmu-3vqjjku3-i3ez87xf</t>
  </si>
  <si>
    <t>https://ln4.sync.com/dl/d40b79940/sc7g52mz-hd75x68k-ve2e5t55-npbht7r9</t>
  </si>
  <si>
    <t>https://ln4.sync.com/dl/a4e998b60/67itf5jb-z3uwknpk-a2h9yiat-ibqu5bbh
https://ln4.sync.com/dl/5e3882ed0/7t9wh56h-4kbgngcx-mkjqkbby-xb4vrxax</t>
  </si>
  <si>
    <t>https://ln4.sync.com/dl/2ba47f610/kcvvsa8h-8rqqm648-4tih4tb5-4kpgzrkn
https://ln4.sync.com/dl/0b4e5c4c0/2gwmp22m-6janped6-jxi224p5-8fibqiwr
https://ln4.sync.com/dl/ab57f5f20/ae84433u-rbyyrx6r-48upgkwb-v99dpyax</t>
  </si>
  <si>
    <t>https://ln4.sync.com/dl/547c92d70/6drcnbzq-ujaw64qm-bia8ebva-uaua6sfy</t>
  </si>
  <si>
    <t>https://ln4.sync.com/dl/fe2516570/wyjjwrdc-x4sjnnjk-fvfgavtu-mfspmuya</t>
  </si>
  <si>
    <t>https://ln4.sync.com/dl/8ca2f0770/ewfcd229-zmgc7yij-2nyfq4nv-5mnuiy6f</t>
  </si>
  <si>
    <t>https://ln4.sync.com/dl/90dfab6d0/368e52rz-c5za4rz5-2g9n28v6-rz7kz5e3</t>
  </si>
  <si>
    <t>https://ln4.sync.com/dl/94022d2e0/xe5r8mwa-2kfkissj-bf7vi9rw-tdgkhg6n</t>
  </si>
  <si>
    <t>https://ln4.sync.com/dl/f99642c00/wjhdfdqt-agwh9jf9-gzdy8muu-8b7ihicn
https://ln4.sync.com/dl/63aafd9f0/qygmma4c-fjzdbif7-f6e3crbk-2b6zqnzr</t>
  </si>
  <si>
    <t>https://ln4.sync.com/dl/01a9312f0/xvm26prk-fee85b6r-addnicny-6w5ag6vp</t>
  </si>
  <si>
    <t>https://ln4.sync.com/dl/d16861680/xp33fd89-6itpk55d-u8xyzttk-xm4br569</t>
  </si>
  <si>
    <t>https://ln4.sync.com/dl/ed69c7290/px7wc3a7-ve2jah68-gjtpmwh4-76pqrcjp</t>
  </si>
  <si>
    <t>https://ln4.sync.com/dl/1a6d26db0/q8pe47fa-5y96rnfh-5urngtq3-yp9qnqsu</t>
  </si>
  <si>
    <t>https://ln4.sync.com/dl/4dd965bf0/4fctqjbn-w6hhjnz6-g73mkpkk-hqfzwhbe</t>
  </si>
  <si>
    <t>https://ln4.sync.com/dl/b132a28c0/wyjvtgih-z6hcf33v-9n5gjrzz-pz8zw9iq</t>
  </si>
  <si>
    <t>https://ln4.sync.com/dl/235ab7fe0/wc4hauhh-h5pmd9z5-xvg3tdv9-983u8gq5</t>
  </si>
  <si>
    <t>https://ln4.sync.com/dl/8b1dc18e0/i7zmnfmn-mncvtpnw-58reub2r-d8j3dt5f</t>
  </si>
  <si>
    <t>https://ln4.sync.com/dl/ca6d85820/md43htiq-knmzcqcz-3erdpvam-tuqf4hbb</t>
  </si>
  <si>
    <t>https://ln4.sync.com/dl/d162497d0/f38cddrn-2b4jq5jy-3ercnkuz-93hgeae8</t>
  </si>
  <si>
    <t>https://ln4.sync.com/dl/4e18b2350/nb42jsti-kw5hz7zs-inyj3zm3-qee8ixnz</t>
  </si>
  <si>
    <t>https://ln4.sync.com/dl/348288d30/drj2v72w-34d32gbp-eef9sixr-7pzsytqd</t>
  </si>
  <si>
    <t>https://ln4.sync.com/dl/df294a100/gzqq4rag-4uch3kzd-bwvy8nc5-5mncpg3h</t>
  </si>
  <si>
    <t>https://ln4.sync.com/dl/ad1c0a780/4rx24pyr-ww9kssq9-xbem2cei-ecfsiftt</t>
  </si>
  <si>
    <t>https://ln4.sync.com/dl/3cb3ab400/vmrntqvv-a72kzp43-uxtzj895-mi69e4ut</t>
  </si>
  <si>
    <t>https://ln4.sync.com/dl/2ee7bcdc0/7k5gmdh7-depqcym3-n3rr6ynx-bypk4heq</t>
  </si>
  <si>
    <t>https://ln4.sync.com/dl/80615e2f0/vnzrrkxc-fej4yt5w-hamq75xn-7un4s7hh</t>
  </si>
  <si>
    <t>https://ln4.sync.com/dl/c4e09a410/uektg2ri-xr277si4-eww88x63-rbebpnef</t>
  </si>
  <si>
    <t>https://ln4.sync.com/dl/b3e1f4df0/uuptv4zd-ffsjjb6z-2iadqjzs-sdrd3fxn</t>
  </si>
  <si>
    <t>https://ln4.sync.com/dl/9aaa962c0/qaswbpmz-yna7vw3x-z3vbifik-5m5qkwte</t>
  </si>
  <si>
    <t>mCRPC</t>
  </si>
  <si>
    <t>Mitoxantrone + Prednisone + Prednisolone</t>
  </si>
  <si>
    <t>Docetaxel + Prednisone + Prednisolone</t>
  </si>
  <si>
    <t>Abiraterone + Enzalutamide</t>
  </si>
  <si>
    <t>Ra-223 + Best supportive care</t>
  </si>
  <si>
    <t>Placebo + Best supportive care</t>
  </si>
  <si>
    <t>&lt;7: NR
=7: 213
&gt;7: 372</t>
  </si>
  <si>
    <t>1: 574
2: NR
3: 160</t>
  </si>
  <si>
    <t>SD: NR
PD: 257</t>
  </si>
  <si>
    <t>&lt;7: NR
=7: 105
&gt;7: 171</t>
  </si>
  <si>
    <t>1: 263
2: NR
3: 101</t>
  </si>
  <si>
    <t>SD: NR
PD: 152</t>
  </si>
  <si>
    <t>1: 558
2: 239
3: NR</t>
  </si>
  <si>
    <t>1: 275
2: 123
3: NR</t>
  </si>
  <si>
    <t>&lt;7: 360
=7: NR
&gt;7: 366</t>
  </si>
  <si>
    <t>&lt;7: 175
=7: NR
&gt;7: 193</t>
  </si>
  <si>
    <t>Overall survival, Disease progression or death, Safety, Trends in serum clusterin and PSA concentrations, Performance status, Pain and use of aNRlgesics, Patient-reported FunctioNRl Assessment of Cancer Therapy-Prostate (FACT-P) outcomes and custirsen pharmacokinetics</t>
  </si>
  <si>
    <t>1: NR
2: 186
3: NR</t>
  </si>
  <si>
    <t>1: NR
2: 187
3: NR</t>
  </si>
  <si>
    <t>&lt;7: NR
=7: NR
&gt;7: 298</t>
  </si>
  <si>
    <t>&lt;7: NR
=7: NR
&gt;7: 162</t>
  </si>
  <si>
    <t>&lt;7: NR
=7: NR
&gt;7: 40</t>
  </si>
  <si>
    <t>&lt;7: NR
=7: NR
&gt;7: 28</t>
  </si>
  <si>
    <t>Overall survival*
Objective response rate by Response Evaluation Criteria in Solid tumours
Prostatic Specific Antigen response
Pain response (McGill-Melzack Scale)
Time to progression
Safety: incidence and severity of all adverse event
Quality Of Life: FunctioNRl assessment of chronic illness therapy-prostate questionNRire will be used</t>
  </si>
  <si>
    <t>SD: 152
PD: NR</t>
  </si>
  <si>
    <t>SD: 87
PD: NR</t>
  </si>
  <si>
    <t>The time to an increase in the PSA level was defined as a relative increase of ≥25% from the baseline level and an absolute increase of ≥2 ng per milliliter at ≥12 weeks, in patients with no decrease in the PSA level from baseline, or a relative increase of ≥25% and an absolute increase of ≥2 ng per milliliter above the NRdir, confirmed ≥3 weeks later, in patients with an initial decrease from baseline.</t>
  </si>
  <si>
    <t>Age (per arm)</t>
  </si>
  <si>
    <t>Age (overall)</t>
  </si>
  <si>
    <t>Real-world Evidence Only</t>
  </si>
  <si>
    <t>Patient Characteristics</t>
  </si>
  <si>
    <t>Data reported</t>
  </si>
  <si>
    <t>Real-world Evidence Study Characteristics</t>
  </si>
  <si>
    <t>RWE outcomes</t>
  </si>
  <si>
    <t>OS-related data</t>
  </si>
  <si>
    <t>PFS-related data</t>
  </si>
  <si>
    <t>OS related data</t>
  </si>
  <si>
    <t>FA-1</t>
  </si>
  <si>
    <t>FA-2</t>
  </si>
  <si>
    <t>FA-3</t>
  </si>
  <si>
    <t>FA-4</t>
  </si>
  <si>
    <t>FA-5</t>
  </si>
  <si>
    <t>FA-6</t>
  </si>
  <si>
    <t>FA-7</t>
  </si>
  <si>
    <t>FA-8</t>
  </si>
  <si>
    <t>FA-9</t>
  </si>
  <si>
    <t>FA-10</t>
  </si>
  <si>
    <t>FA-11</t>
  </si>
  <si>
    <t>FA-12</t>
  </si>
  <si>
    <t>FA-13</t>
  </si>
  <si>
    <t>FA-14</t>
  </si>
  <si>
    <t>FA-15</t>
  </si>
  <si>
    <t>FA-16</t>
  </si>
  <si>
    <t>FA-17</t>
  </si>
  <si>
    <t>FA-18</t>
  </si>
  <si>
    <t>FA-19</t>
  </si>
  <si>
    <t>CA</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</si>
  <si>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</si>
  <si>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</si>
  <si>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</si>
  <si>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</si>
  <si>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</si>
  <si>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</si>
  <si>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</si>
  <si>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</si>
  <si>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</si>
  <si>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</si>
  <si>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</si>
  <si>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</si>
  <si>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</si>
  <si>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</si>
  <si>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</si>
  <si>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</si>
  <si>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</si>
  <si>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</si>
  <si>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</si>
  <si>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</si>
  <si>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</si>
  <si>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</si>
  <si>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</si>
  <si>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</si>
  <si>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</si>
  <si>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</si>
  <si>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</si>
  <si>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</si>
  <si>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</si>
  <si>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</si>
  <si>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CD-13</t>
  </si>
  <si>
    <t>FD-21</t>
  </si>
  <si>
    <t>FD-22</t>
  </si>
  <si>
    <t>FD-23</t>
  </si>
  <si>
    <t>FD-24</t>
  </si>
  <si>
    <t>FD-25</t>
  </si>
  <si>
    <t>FD-26</t>
  </si>
  <si>
    <t>FD-27</t>
  </si>
  <si>
    <t>CD-2</t>
  </si>
  <si>
    <t>FE-1</t>
  </si>
  <si>
    <t>FE-2</t>
  </si>
  <si>
    <t>FE-3</t>
  </si>
  <si>
    <t>FE-4</t>
  </si>
  <si>
    <t>CE</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</si>
  <si>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</si>
  <si>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</si>
  <si>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</si>
  <si>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</si>
  <si>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</si>
  <si>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</si>
  <si>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</si>
  <si>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</si>
  <si>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</si>
  <si>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</si>
  <si>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</si>
  <si>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</si>
  <si>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</si>
  <si>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</si>
  <si>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</si>
  <si>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</si>
  <si>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</si>
  <si>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</si>
  <si>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</si>
  <si>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</si>
  <si>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</si>
  <si>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</si>
  <si>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</si>
  <si>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</si>
  <si>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</si>
  <si>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</si>
  <si>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</si>
  <si>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</si>
  <si>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</si>
  <si>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</si>
  <si>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</si>
  <si>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</si>
  <si>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</si>
  <si>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</si>
  <si>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</si>
  <si>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</si>
  <si>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</si>
  <si>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</si>
  <si>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</si>
  <si>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</si>
  <si>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</si>
  <si>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</si>
  <si>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</si>
  <si>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</si>
  <si>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</si>
  <si>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</si>
  <si>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</si>
  <si>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</si>
  <si>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</si>
  <si>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</si>
  <si>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</si>
  <si>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</si>
  <si>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</si>
  <si>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</si>
  <si>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</si>
  <si>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</si>
  <si>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</si>
  <si>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</si>
  <si>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</si>
  <si>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</si>
  <si>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</si>
  <si>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</si>
  <si>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</si>
  <si>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</si>
  <si>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</si>
  <si>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</si>
  <si>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Real-world Evidence Study Design</t>
  </si>
  <si>
    <t>Source or Institutions</t>
  </si>
  <si>
    <t>RWE Reported Data Variables</t>
  </si>
  <si>
    <t>Treatment Patterns</t>
  </si>
  <si>
    <t>Epidemiology</t>
  </si>
  <si>
    <t>Any Grade AEs N (per arm)</t>
  </si>
  <si>
    <t>Progression-free survival in docetaxel-resistant visceral mCRPC patients: 0.61
Progression in docetaxel-resistant visceral mCRPC patients: 0.51
Disutility values: 
Grade III/IV anemia (-0.119)
Grade III/IV diarrhea (-0.212)
Grade III/IV fatigue (-0.473)
Grade III/IV backpain (-0.067)
Grade III/IV neutropenia (-0.131)
Grade III/IV bone pain (-0.067)</t>
  </si>
  <si>
    <t>CC</t>
  </si>
  <si>
    <t>CN-11</t>
  </si>
  <si>
    <t>OS Time point (per arm)</t>
  </si>
  <si>
    <t>CN-13</t>
  </si>
  <si>
    <t>Time to PSA Progression-N</t>
  </si>
  <si>
    <t>Time to PSA Progression months</t>
  </si>
  <si>
    <t>Time to PSA Progression, 95% CI</t>
  </si>
  <si>
    <t>Spain</t>
  </si>
  <si>
    <t>USA, Argentina, Brazil, Chile, Canada, Belgium, Denmark, Czech republic, Finland, France, Germany, Hungary, India, Italy, Korea, Mexico, Netherlands, Russia, Singapore, Slovakia, Spain, Sweden , Taiwan, Turkey, UK</t>
  </si>
  <si>
    <t>USA, Brazil, Canada, Czechia, Australia, Finland, France, Greece, Hungary, Estonia, Netherlands, Italy, Poland, Spain</t>
  </si>
  <si>
    <t>USA, Australia, Austria, Belgium, Canada, France, Germany, Hungary, Ireland, Netherlands, Spain, UK</t>
  </si>
  <si>
    <t>Argentina, Australia, Austria, Belgium, Canada, Chile, France, Germany, Italy, Netherlands, Poland, South Africa, Spain, UK, USA</t>
  </si>
  <si>
    <t>Australia, Canada, Czech Republic, France, Hungary, Russia, UK, USA</t>
  </si>
  <si>
    <t>USA, France, Canada, Spain, UK</t>
  </si>
  <si>
    <t>USA, Canada</t>
  </si>
  <si>
    <t>USA, Australia, Canada, Ireland, UK</t>
  </si>
  <si>
    <t>China</t>
  </si>
  <si>
    <t>Australia, Belgium, Brazil, Canada, China, Czech Republic, Denmark, Finland, France, Germany, Israel, Italy, Korea, Peru, Poland, Portugal, Slovakia, Spain, Sweden, Taiwan, UK, USA</t>
  </si>
  <si>
    <t>Australia, Belgium, Brazil, Canada, Czech Republic, France, Germany, Hong Kong, Israel, Italy, Netherlands, Norway, Poland, Singapore, Slovakia, Spain, Sweden, UK,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</si>
</sst>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
    <numFmt numFmtId="165" formatCode="0.0"/>
    <numFmt numFmtId="166" formatCode="0.0000"/>
    <numFmt numFmtId="167" formatCode="0.000"/>
    <numFmt numFmtId="168" formatCode="#,##0.0"/>
  </numFmts>
  <fonts count="60">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sz val="11"/>
      <color theme="1"/>
      <name val="Calibri"/>
      <family val="2"/>
    </font>
    <font>
      <b/>
      <sz val="9"/>
      <color theme="0"/>
      <name val="Helvetica Neue"/>
      <family val="2"/>
    </font>
    <font>
      <sz val="11"/>
      <color theme="1"/>
      <name val="Calibri"/>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9"/>
      <color indexed="81"/>
      <name val="Tahoma"/>
      <family val="2"/>
    </font>
    <font>
      <sz val="10"/>
      <color theme="1"/>
      <name val="Verdana"/>
      <family val="2"/>
    </font>
    <font>
      <sz val="12"/>
      <color theme="1"/>
      <name val="Arial"/>
      <family val="2"/>
    </font>
    <font>
      <sz val="12"/>
      <color theme="1"/>
      <name val="Helvetica"/>
      <family val="2"/>
    </font>
    <font>
      <sz val="10"/>
      <name val="Arial"/>
      <family val="2"/>
    </font>
    <font>
      <sz val="12"/>
      <color theme="1" tint="4.9989318521683403E-2"/>
      <name val="Arial"/>
      <family val="2"/>
    </font>
    <font>
      <b/>
      <sz val="10"/>
      <color theme="0"/>
      <name val="Verdana"/>
      <family val="2"/>
    </font>
    <font>
      <sz val="12"/>
      <name val="Helvetica"/>
      <family val="2"/>
    </font>
    <font>
      <sz val="12"/>
      <color theme="1"/>
      <name val="Calibri"/>
      <family val="2"/>
    </font>
    <font>
      <sz val="11"/>
      <name val="Helvetica"/>
      <family val="2"/>
    </font>
    <font>
      <b/>
      <sz val="12"/>
      <color theme="0"/>
      <name val="Helvetica"/>
      <family val="2"/>
    </font>
    <font>
      <b/>
      <sz val="12"/>
      <name val="Helvetica"/>
      <family val="2"/>
    </font>
    <font>
      <b/>
      <sz val="12"/>
      <color theme="1"/>
      <name val="Helvetica"/>
      <family val="2"/>
    </font>
    <font>
      <b/>
      <sz val="12"/>
      <color theme="0"/>
      <name val="Arial"/>
      <family val="2"/>
    </font>
    <font>
      <b/>
      <sz val="12"/>
      <color theme="0" tint="-0.14999847407452621"/>
      <name val="Helvetica"/>
      <family val="2"/>
    </font>
    <font>
      <sz val="12"/>
      <color rgb="FF002060"/>
      <name val="Arial"/>
      <family val="2"/>
    </font>
    <font>
      <b/>
      <sz val="18"/>
      <color theme="0"/>
      <name val="Arial"/>
      <family val="2"/>
    </font>
    <font>
      <b/>
      <sz val="18"/>
      <color theme="0"/>
      <name val="Helvetica"/>
      <family val="2"/>
    </font>
    <font>
      <b/>
      <sz val="9"/>
      <color indexed="81"/>
      <name val="Tahoma"/>
      <family val="2"/>
    </font>
    <font>
      <b/>
      <sz val="9"/>
      <color rgb="FF000000"/>
      <name val="Tahoma"/>
      <family val="2"/>
    </font>
    <font>
      <sz val="9"/>
      <color rgb="FF000000"/>
      <name val="Tahoma"/>
      <family val="2"/>
    </font>
    <font>
      <sz val="12"/>
      <color rgb="FF000000"/>
      <name val="Helvetica"/>
      <family val="2"/>
    </font>
    <font>
      <sz val="12"/>
      <color indexed="8"/>
      <name val="Helvetica"/>
      <family val="2"/>
    </font>
    <font>
      <sz val="12"/>
      <color rgb="FF000000"/>
      <name val="Calibri"/>
      <family val="2"/>
    </font>
    <font>
      <sz val="12"/>
      <color rgb="FF000000"/>
      <name val="Helvetica Neue"/>
      <family val="2"/>
    </font>
    <font>
      <sz val="12"/>
      <color rgb="FF000000"/>
      <name val="Arial"/>
      <family val="2"/>
    </font>
    <font>
      <sz val="12"/>
      <name val="Helvetica Neue"/>
      <family val="2"/>
    </font>
    <font>
      <sz val="12"/>
      <color rgb="FF0C0C0C"/>
      <name val="Arial"/>
      <family val="2"/>
    </font>
    <font>
      <sz val="10"/>
      <name val="Helvetica"/>
      <family val="2"/>
    </font>
    <font>
      <sz val="10"/>
      <color rgb="FF000000"/>
      <name val="Arial"/>
      <family val="2"/>
    </font>
    <font>
      <b/>
      <sz val="10"/>
      <color theme="0"/>
      <name val="Arial"/>
      <family val="2"/>
    </font>
    <font>
      <sz val="10"/>
      <color theme="0"/>
      <name val="Arial"/>
      <family val="2"/>
    </font>
    <font>
      <b/>
      <sz val="12"/>
      <color indexed="8"/>
      <name val="Helvetica"/>
      <family val="2"/>
    </font>
    <font>
      <sz val="10"/>
      <name val="Arial"/>
      <family val="2"/>
    </font>
    <font>
      <sz val="11"/>
      <name val="Calibri"/>
      <family val="2"/>
    </font>
    <font>
      <sz val="8"/>
      <name val="Arial"/>
      <family val="2"/>
    </font>
    <font>
      <b/>
      <sz val="9"/>
      <color theme="2"/>
      <name val="Helvetica Neue"/>
      <family val="2"/>
    </font>
    <font>
      <sz val="11"/>
      <name val="Calibri"/>
      <family val="2"/>
      <scheme val="minor"/>
    </font>
    <font>
      <u/>
      <sz val="11"/>
      <color theme="10"/>
      <name val="Arial"/>
      <family val="2"/>
    </font>
    <font>
      <u/>
      <sz val="11"/>
      <color theme="10"/>
      <name val="Arial"/>
      <family val="2"/>
    </font>
    <font>
      <b/>
      <sz val="9"/>
      <color theme="0"/>
      <name val="Helvetica"/>
    </font>
    <font>
      <b/>
      <sz val="11"/>
      <color theme="0"/>
      <name val="Helvetica"/>
    </font>
    <font>
      <sz val="11"/>
      <color theme="1"/>
      <name val="Helvetica"/>
    </font>
    <font>
      <b/>
      <sz val="11"/>
      <name val="Helvetica"/>
    </font>
    <font>
      <b/>
      <sz val="9"/>
      <name val="Helvetica"/>
    </font>
    <font>
      <sz val="9"/>
      <name val="Helvetica"/>
    </font>
    <font>
      <b/>
      <sz val="9"/>
      <color rgb="FFFFFFFF"/>
      <name val="Helvetica"/>
    </font>
  </fonts>
  <fills count="60">
    <fill>
      <patternFill patternType="none"/>
    </fill>
    <fill>
      <patternFill patternType="gray125"/>
    </fill>
    <fill>
      <patternFill patternType="solid">
        <fgColor rgb="FF4B277B"/>
        <bgColor rgb="FF4B277B"/>
      </patternFill>
    </fill>
    <fill>
      <patternFill patternType="solid">
        <fgColor rgb="FFFFFFFF"/>
        <bgColor rgb="FFFFFFFF"/>
      </patternFill>
    </fill>
    <fill>
      <patternFill patternType="solid">
        <fgColor rgb="FFA5A5A5"/>
        <bgColor rgb="FFA5A5A5"/>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bgColor indexed="64"/>
      </patternFill>
    </fill>
    <fill>
      <patternFill patternType="solid">
        <fgColor rgb="FFDDDCF5"/>
        <bgColor indexed="64"/>
      </patternFill>
    </fill>
    <fill>
      <patternFill patternType="solid">
        <fgColor rgb="FF96D2E8"/>
        <bgColor indexed="64"/>
      </patternFill>
    </fill>
    <fill>
      <patternFill patternType="solid">
        <fgColor theme="0" tint="-0.499984740745262"/>
        <bgColor indexed="64"/>
      </patternFill>
    </fill>
    <fill>
      <patternFill patternType="solid">
        <fgColor rgb="FFDECEE8"/>
        <bgColor indexed="64"/>
      </patternFill>
    </fill>
    <fill>
      <patternFill patternType="solid">
        <fgColor rgb="FF5D2F82"/>
        <bgColor indexed="64"/>
      </patternFill>
    </fill>
    <fill>
      <patternFill patternType="solid">
        <fgColor rgb="FF4B277B"/>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C000"/>
        <bgColor indexed="64"/>
      </patternFill>
    </fill>
    <fill>
      <patternFill patternType="solid">
        <fgColor rgb="FF00B0F0"/>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indexed="9"/>
        <bgColor indexed="64"/>
      </patternFill>
    </fill>
    <fill>
      <patternFill patternType="solid">
        <fgColor rgb="FF88A9DA"/>
        <bgColor indexed="64"/>
      </patternFill>
    </fill>
    <fill>
      <patternFill patternType="solid">
        <fgColor theme="0"/>
        <bgColor rgb="FFFFFF00"/>
      </patternFill>
    </fill>
    <fill>
      <patternFill patternType="solid">
        <fgColor theme="0"/>
        <bgColor rgb="FFFFFFFF"/>
      </patternFill>
    </fill>
    <fill>
      <patternFill patternType="solid">
        <fgColor theme="0"/>
        <bgColor rgb="FFA5A5A5"/>
      </patternFill>
    </fill>
    <fill>
      <patternFill patternType="solid">
        <fgColor rgb="FFFF0000"/>
        <bgColor rgb="FFFFFFFF"/>
      </patternFill>
    </fill>
    <fill>
      <patternFill patternType="solid">
        <fgColor theme="0" tint="-0.34998626667073579"/>
        <bgColor rgb="FFFFFFFF"/>
      </patternFill>
    </fill>
    <fill>
      <patternFill patternType="solid">
        <fgColor rgb="FFFFFF00"/>
        <bgColor rgb="FFFFFFFF"/>
      </patternFill>
    </fill>
    <fill>
      <patternFill patternType="solid">
        <fgColor rgb="FF92D050"/>
        <bgColor rgb="FFFFFFFF"/>
      </patternFill>
    </fill>
    <fill>
      <patternFill patternType="solid">
        <fgColor rgb="FF92D050"/>
        <bgColor rgb="FFFFFF00"/>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92D050"/>
        <bgColor theme="0"/>
      </patternFill>
    </fill>
    <fill>
      <patternFill patternType="solid">
        <fgColor rgb="FFFFC000"/>
        <bgColor theme="0"/>
      </patternFill>
    </fill>
    <fill>
      <patternFill patternType="solid">
        <fgColor rgb="FF9369AC"/>
        <bgColor theme="0"/>
      </patternFill>
    </fill>
    <fill>
      <patternFill patternType="solid">
        <fgColor rgb="FF40AEDB"/>
        <bgColor theme="0"/>
      </patternFill>
    </fill>
    <fill>
      <patternFill patternType="solid">
        <fgColor theme="0" tint="-0.499984740745262"/>
        <bgColor theme="0"/>
      </patternFill>
    </fill>
    <fill>
      <patternFill patternType="solid">
        <fgColor rgb="FFFF0000"/>
        <bgColor rgb="FF4B277B"/>
      </patternFill>
    </fill>
    <fill>
      <patternFill patternType="solid">
        <fgColor theme="5" tint="0.79998168889431442"/>
        <bgColor indexed="64"/>
      </patternFill>
    </fill>
    <fill>
      <patternFill patternType="solid">
        <fgColor rgb="FFC65911"/>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FFC000"/>
        <bgColor rgb="FF4B277B"/>
      </patternFill>
    </fill>
    <fill>
      <patternFill patternType="solid">
        <fgColor theme="9" tint="0.79998168889431442"/>
        <bgColor indexed="64"/>
      </patternFill>
    </fill>
  </fills>
  <borders count="4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medium">
        <color rgb="FF4B277B"/>
      </top>
      <bottom/>
      <diagonal/>
    </border>
    <border>
      <left/>
      <right style="medium">
        <color rgb="FF4B277B"/>
      </right>
      <top style="medium">
        <color rgb="FF4B277B"/>
      </top>
      <bottom/>
      <diagonal/>
    </border>
    <border>
      <left/>
      <right style="medium">
        <color rgb="FF4B277B"/>
      </right>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indexed="64"/>
      </top>
      <bottom style="thin">
        <color indexed="64"/>
      </bottom>
      <diagonal/>
    </border>
    <border>
      <left/>
      <right style="medium">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medium">
        <color rgb="FF4B277B"/>
      </right>
      <top/>
      <bottom style="thin">
        <color auto="1"/>
      </bottom>
      <diagonal/>
    </border>
    <border>
      <left style="thin">
        <color auto="1"/>
      </left>
      <right style="medium">
        <color rgb="FF4B277B"/>
      </right>
      <top style="thin">
        <color auto="1"/>
      </top>
      <bottom/>
      <diagonal/>
    </border>
    <border>
      <left/>
      <right/>
      <top style="medium">
        <color auto="1"/>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top/>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style="thin">
        <color rgb="FF000000"/>
      </left>
      <right style="thin">
        <color auto="1"/>
      </right>
      <top/>
      <bottom style="thin">
        <color rgb="FF000000"/>
      </bottom>
      <diagonal/>
    </border>
    <border>
      <left style="thin">
        <color auto="1"/>
      </left>
      <right style="thin">
        <color rgb="FF000000"/>
      </right>
      <top/>
      <bottom style="thin">
        <color auto="1"/>
      </bottom>
      <diagonal/>
    </border>
    <border>
      <left style="thin">
        <color rgb="FF000000"/>
      </left>
      <right style="thin">
        <color auto="1"/>
      </right>
      <top style="thin">
        <color rgb="FF000000"/>
      </top>
      <bottom/>
      <diagonal/>
    </border>
    <border>
      <left style="thin">
        <color auto="1"/>
      </left>
      <right style="thin">
        <color rgb="FF000000"/>
      </right>
      <top style="thin">
        <color auto="1"/>
      </top>
      <bottom/>
      <diagonal/>
    </border>
    <border>
      <left/>
      <right/>
      <top style="thin">
        <color indexed="64"/>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right/>
      <top/>
      <bottom style="thin">
        <color indexed="64"/>
      </bottom>
      <diagonal/>
    </border>
    <border>
      <left style="thin">
        <color auto="1"/>
      </left>
      <right/>
      <top/>
      <bottom/>
      <diagonal/>
    </border>
    <border>
      <left style="thin">
        <color indexed="64"/>
      </left>
      <right/>
      <top/>
      <bottom style="thin">
        <color indexed="64"/>
      </bottom>
      <diagonal/>
    </border>
  </borders>
  <cellStyleXfs count="20">
    <xf numFmtId="0" fontId="0" fillId="0" borderId="0"/>
    <xf numFmtId="0" fontId="14" fillId="0" borderId="1"/>
    <xf numFmtId="0" fontId="9" fillId="5" borderId="1" applyNumberFormat="0" applyBorder="0" applyAlignment="0" applyProtection="0"/>
    <xf numFmtId="0" fontId="17" fillId="0" borderId="1"/>
    <xf numFmtId="9" fontId="14" fillId="0" borderId="1" applyFont="0" applyFill="0" applyBorder="0" applyAlignment="0" applyProtection="0"/>
    <xf numFmtId="0" fontId="17" fillId="0" borderId="1"/>
    <xf numFmtId="0" fontId="19" fillId="13" borderId="1" applyFont="0" applyFill="0" applyBorder="0" applyAlignment="0" applyProtection="0">
      <alignment horizontal="left" vertical="center" wrapText="1"/>
    </xf>
    <xf numFmtId="9" fontId="17" fillId="0" borderId="1" applyFont="0" applyFill="0" applyBorder="0" applyAlignment="0" applyProtection="0"/>
    <xf numFmtId="0" fontId="10" fillId="6" borderId="1" applyNumberFormat="0" applyBorder="0" applyAlignment="0" applyProtection="0"/>
    <xf numFmtId="0" fontId="4" fillId="0" borderId="1"/>
    <xf numFmtId="0" fontId="11" fillId="7" borderId="1" applyNumberFormat="0" applyBorder="0" applyAlignment="0" applyProtection="0"/>
    <xf numFmtId="0" fontId="4" fillId="0" borderId="1"/>
    <xf numFmtId="0" fontId="16" fillId="0" borderId="1"/>
    <xf numFmtId="0" fontId="17" fillId="0" borderId="1"/>
    <xf numFmtId="44" fontId="17" fillId="0" borderId="1" applyFont="0" applyFill="0" applyBorder="0" applyAlignment="0" applyProtection="0"/>
    <xf numFmtId="0" fontId="3" fillId="0" borderId="1"/>
    <xf numFmtId="0" fontId="46" fillId="0" borderId="1"/>
    <xf numFmtId="0" fontId="2" fillId="0" borderId="1"/>
    <xf numFmtId="0" fontId="2" fillId="0" borderId="1"/>
    <xf numFmtId="0" fontId="51" fillId="0" borderId="0" applyNumberFormat="0" applyFill="0" applyBorder="0" applyAlignment="0" applyProtection="0"/>
  </cellStyleXfs>
  <cellXfs count="696">
    <xf numFmtId="0" fontId="0" fillId="0" borderId="0" xfId="0" applyFont="1" applyAlignment="1"/>
    <xf numFmtId="0" fontId="0" fillId="0" borderId="0" xfId="0" applyFont="1" applyFill="1" applyAlignment="1"/>
    <xf numFmtId="0" fontId="6" fillId="8" borderId="2"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15" fillId="0" borderId="1" xfId="1" applyFont="1" applyAlignment="1">
      <alignment vertical="center" wrapText="1"/>
    </xf>
    <xf numFmtId="0" fontId="15" fillId="0" borderId="1" xfId="1" applyFont="1" applyAlignment="1">
      <alignment horizontal="center" vertical="center" wrapText="1"/>
    </xf>
    <xf numFmtId="0" fontId="15" fillId="0" borderId="1" xfId="1" applyFont="1" applyAlignment="1">
      <alignment vertical="top" wrapText="1"/>
    </xf>
    <xf numFmtId="0" fontId="16" fillId="0" borderId="1" xfId="1" applyFont="1" applyAlignment="1">
      <alignment horizontal="left" vertical="top" wrapText="1"/>
    </xf>
    <xf numFmtId="0" fontId="16" fillId="0" borderId="1" xfId="1" applyFont="1" applyAlignment="1">
      <alignment vertical="center" wrapText="1"/>
    </xf>
    <xf numFmtId="0" fontId="9" fillId="8" borderId="20" xfId="2" applyFill="1" applyBorder="1" applyAlignment="1">
      <alignment horizontal="center" vertical="center" wrapText="1"/>
    </xf>
    <xf numFmtId="0" fontId="16" fillId="8" borderId="15" xfId="2" applyFont="1" applyFill="1" applyBorder="1" applyAlignment="1">
      <alignment horizontal="center" vertical="center" wrapText="1"/>
    </xf>
    <xf numFmtId="0" fontId="16" fillId="8" borderId="15" xfId="1" applyFont="1" applyFill="1" applyBorder="1" applyAlignment="1">
      <alignment horizontal="center" vertical="center" wrapText="1"/>
    </xf>
    <xf numFmtId="0" fontId="16" fillId="8" borderId="16" xfId="1" applyFont="1" applyFill="1" applyBorder="1" applyAlignment="1">
      <alignment horizontal="center" vertical="center" wrapText="1"/>
    </xf>
    <xf numFmtId="0" fontId="16" fillId="0" borderId="15" xfId="3" applyFont="1" applyBorder="1" applyAlignment="1">
      <alignment horizontal="center" vertical="center" wrapText="1"/>
    </xf>
    <xf numFmtId="10" fontId="16" fillId="0" borderId="15" xfId="3" applyNumberFormat="1" applyFont="1" applyBorder="1" applyAlignment="1">
      <alignment horizontal="center" vertical="center" wrapText="1"/>
    </xf>
    <xf numFmtId="9" fontId="18" fillId="0" borderId="15" xfId="4" applyFont="1" applyFill="1" applyBorder="1" applyAlignment="1">
      <alignment horizontal="center" vertical="center" wrapText="1" shrinkToFit="1"/>
    </xf>
    <xf numFmtId="0" fontId="15" fillId="9" borderId="15" xfId="1" applyFont="1" applyFill="1" applyBorder="1" applyAlignment="1">
      <alignment horizontal="center" vertical="center" wrapText="1"/>
    </xf>
    <xf numFmtId="9" fontId="15" fillId="9" borderId="15" xfId="1" applyNumberFormat="1" applyFont="1" applyFill="1" applyBorder="1" applyAlignment="1">
      <alignment horizontal="center" vertical="center" wrapText="1"/>
    </xf>
    <xf numFmtId="9" fontId="18" fillId="10" borderId="15" xfId="4" applyFont="1" applyFill="1" applyBorder="1" applyAlignment="1">
      <alignment horizontal="center" vertical="center" wrapText="1" shrinkToFit="1"/>
    </xf>
    <xf numFmtId="0" fontId="15" fillId="11" borderId="15" xfId="1" applyFont="1" applyFill="1" applyBorder="1" applyAlignment="1">
      <alignment horizontal="center" vertical="center" wrapText="1"/>
    </xf>
    <xf numFmtId="0" fontId="15" fillId="0" borderId="15" xfId="1" applyFont="1" applyBorder="1" applyAlignment="1">
      <alignment horizontal="center" vertical="center" wrapText="1"/>
    </xf>
    <xf numFmtId="165" fontId="16" fillId="8" borderId="15" xfId="1" applyNumberFormat="1" applyFont="1" applyFill="1" applyBorder="1" applyAlignment="1">
      <alignment horizontal="center" vertical="center" wrapText="1"/>
    </xf>
    <xf numFmtId="0" fontId="16" fillId="8" borderId="15" xfId="3" applyFont="1" applyFill="1" applyBorder="1" applyAlignment="1">
      <alignment horizontal="center" vertical="center" wrapText="1"/>
    </xf>
    <xf numFmtId="165" fontId="16" fillId="8" borderId="15" xfId="3" applyNumberFormat="1" applyFont="1" applyFill="1" applyBorder="1" applyAlignment="1">
      <alignment horizontal="center" vertical="center" wrapText="1"/>
    </xf>
    <xf numFmtId="0" fontId="16" fillId="8" borderId="15" xfId="5" applyFont="1" applyFill="1" applyBorder="1" applyAlignment="1">
      <alignment horizontal="center" vertical="center" wrapText="1"/>
    </xf>
    <xf numFmtId="0" fontId="16" fillId="12" borderId="15" xfId="1" applyFont="1" applyFill="1" applyBorder="1" applyAlignment="1">
      <alignment horizontal="center" vertical="top" wrapText="1"/>
    </xf>
    <xf numFmtId="0" fontId="16" fillId="12" borderId="15" xfId="3" applyFont="1" applyFill="1" applyBorder="1" applyAlignment="1">
      <alignment horizontal="center" vertical="center" wrapText="1"/>
    </xf>
    <xf numFmtId="0" fontId="16" fillId="12" borderId="15" xfId="1" applyFont="1" applyFill="1" applyBorder="1" applyAlignment="1">
      <alignment horizontal="center" vertical="center" wrapText="1"/>
    </xf>
    <xf numFmtId="0" fontId="20" fillId="12" borderId="15" xfId="6" applyFont="1" applyFill="1" applyBorder="1" applyAlignment="1">
      <alignment horizontal="left" vertical="top" wrapText="1"/>
    </xf>
    <xf numFmtId="49" fontId="16" fillId="12" borderId="15" xfId="1" applyNumberFormat="1" applyFont="1" applyFill="1" applyBorder="1" applyAlignment="1">
      <alignment horizontal="center" vertical="center" wrapText="1"/>
    </xf>
    <xf numFmtId="0" fontId="16" fillId="0" borderId="23" xfId="3" applyFont="1" applyBorder="1" applyAlignment="1">
      <alignment horizontal="center" vertical="center" wrapText="1"/>
    </xf>
    <xf numFmtId="0" fontId="16" fillId="8" borderId="23" xfId="1" applyFont="1" applyFill="1" applyBorder="1" applyAlignment="1">
      <alignment horizontal="center" vertical="center" wrapText="1"/>
    </xf>
    <xf numFmtId="165" fontId="16" fillId="0" borderId="23" xfId="3" applyNumberFormat="1" applyFont="1" applyBorder="1" applyAlignment="1">
      <alignment horizontal="center" vertical="center" wrapText="1"/>
    </xf>
    <xf numFmtId="9" fontId="15" fillId="9" borderId="23" xfId="1" applyNumberFormat="1" applyFont="1" applyFill="1" applyBorder="1" applyAlignment="1">
      <alignment horizontal="center" vertical="center" wrapText="1"/>
    </xf>
    <xf numFmtId="0" fontId="15" fillId="9" borderId="23" xfId="1" applyFont="1" applyFill="1" applyBorder="1" applyAlignment="1">
      <alignment horizontal="center" vertical="center" wrapText="1"/>
    </xf>
    <xf numFmtId="0" fontId="15" fillId="11" borderId="23" xfId="1" applyFont="1" applyFill="1" applyBorder="1" applyAlignment="1">
      <alignment horizontal="center" vertical="center" wrapText="1"/>
    </xf>
    <xf numFmtId="165" fontId="16" fillId="8" borderId="23" xfId="1" applyNumberFormat="1" applyFont="1" applyFill="1" applyBorder="1" applyAlignment="1">
      <alignment horizontal="center" vertical="center" wrapText="1"/>
    </xf>
    <xf numFmtId="0" fontId="16" fillId="8" borderId="23" xfId="3" applyFont="1" applyFill="1" applyBorder="1" applyAlignment="1">
      <alignment horizontal="center" vertical="center" wrapText="1"/>
    </xf>
    <xf numFmtId="1" fontId="16" fillId="8" borderId="23" xfId="3" applyNumberFormat="1" applyFont="1" applyFill="1" applyBorder="1" applyAlignment="1">
      <alignment horizontal="center" vertical="center" wrapText="1"/>
    </xf>
    <xf numFmtId="0" fontId="16" fillId="8" borderId="23" xfId="5" applyFont="1" applyFill="1" applyBorder="1" applyAlignment="1">
      <alignment horizontal="center" vertical="center" wrapText="1"/>
    </xf>
    <xf numFmtId="165" fontId="16" fillId="0" borderId="15" xfId="3" applyNumberFormat="1" applyFont="1" applyBorder="1" applyAlignment="1">
      <alignment horizontal="center" vertical="center" wrapText="1"/>
    </xf>
    <xf numFmtId="1" fontId="16" fillId="8" borderId="15" xfId="3" applyNumberFormat="1" applyFont="1" applyFill="1" applyBorder="1" applyAlignment="1">
      <alignment horizontal="center" vertical="center" wrapText="1"/>
    </xf>
    <xf numFmtId="9" fontId="16" fillId="0" borderId="15" xfId="4" applyFont="1" applyFill="1" applyBorder="1" applyAlignment="1">
      <alignment horizontal="center" vertical="center" wrapText="1" shrinkToFit="1"/>
    </xf>
    <xf numFmtId="0" fontId="16" fillId="9" borderId="15" xfId="1" applyFont="1" applyFill="1" applyBorder="1" applyAlignment="1">
      <alignment horizontal="center" vertical="center" wrapText="1"/>
    </xf>
    <xf numFmtId="9" fontId="18" fillId="10" borderId="23" xfId="4" applyFont="1" applyFill="1" applyBorder="1" applyAlignment="1">
      <alignment horizontal="center" vertical="center" wrapText="1" shrinkToFit="1"/>
    </xf>
    <xf numFmtId="0" fontId="16" fillId="12" borderId="23" xfId="3" applyFont="1" applyFill="1" applyBorder="1" applyAlignment="1">
      <alignment horizontal="center" vertical="center" wrapText="1"/>
    </xf>
    <xf numFmtId="0" fontId="20" fillId="12" borderId="23" xfId="6" applyFont="1" applyFill="1" applyBorder="1" applyAlignment="1">
      <alignment horizontal="left" vertical="top" wrapText="1"/>
    </xf>
    <xf numFmtId="1" fontId="16" fillId="8" borderId="15" xfId="1" applyNumberFormat="1" applyFont="1" applyFill="1" applyBorder="1" applyAlignment="1">
      <alignment horizontal="center" vertical="center" wrapText="1"/>
    </xf>
    <xf numFmtId="9" fontId="18" fillId="10" borderId="24" xfId="4" applyFont="1" applyFill="1" applyBorder="1" applyAlignment="1">
      <alignment horizontal="center" vertical="center" wrapText="1" shrinkToFit="1"/>
    </xf>
    <xf numFmtId="0" fontId="16" fillId="0" borderId="24" xfId="3" applyFont="1" applyBorder="1" applyAlignment="1">
      <alignment horizontal="center" vertical="center" wrapText="1"/>
    </xf>
    <xf numFmtId="0" fontId="16" fillId="0" borderId="20" xfId="1" applyFont="1" applyBorder="1" applyAlignment="1">
      <alignment vertical="center" wrapText="1"/>
    </xf>
    <xf numFmtId="165" fontId="16" fillId="9" borderId="15" xfId="7" applyNumberFormat="1" applyFont="1" applyFill="1" applyBorder="1" applyAlignment="1">
      <alignment horizontal="center" vertical="center" wrapText="1"/>
    </xf>
    <xf numFmtId="168" fontId="15" fillId="9" borderId="15" xfId="1" applyNumberFormat="1" applyFont="1" applyFill="1" applyBorder="1" applyAlignment="1">
      <alignment horizontal="center" vertical="center" wrapText="1"/>
    </xf>
    <xf numFmtId="0" fontId="16" fillId="0" borderId="13" xfId="1" applyFont="1" applyBorder="1" applyAlignment="1">
      <alignment vertical="center" wrapText="1"/>
    </xf>
    <xf numFmtId="0" fontId="16" fillId="0" borderId="15" xfId="1" applyFont="1" applyBorder="1" applyAlignment="1">
      <alignment horizontal="center" vertical="center" wrapText="1"/>
    </xf>
    <xf numFmtId="9" fontId="16" fillId="8" borderId="15" xfId="1" applyNumberFormat="1" applyFont="1" applyFill="1" applyBorder="1" applyAlignment="1">
      <alignment horizontal="center" vertical="center" wrapText="1"/>
    </xf>
    <xf numFmtId="0" fontId="15" fillId="0" borderId="13" xfId="1" applyFont="1" applyBorder="1" applyAlignment="1">
      <alignment vertical="center" wrapText="1"/>
    </xf>
    <xf numFmtId="164" fontId="15" fillId="9" borderId="15" xfId="7" applyNumberFormat="1" applyFont="1" applyFill="1" applyBorder="1" applyAlignment="1">
      <alignment horizontal="center" vertical="center" wrapText="1"/>
    </xf>
    <xf numFmtId="1" fontId="15" fillId="9" borderId="15" xfId="1" applyNumberFormat="1" applyFont="1" applyFill="1" applyBorder="1" applyAlignment="1">
      <alignment horizontal="center" vertical="center" wrapText="1"/>
    </xf>
    <xf numFmtId="9" fontId="16" fillId="0" borderId="15" xfId="1" applyNumberFormat="1" applyFont="1" applyBorder="1" applyAlignment="1">
      <alignment horizontal="center" vertical="center" wrapText="1"/>
    </xf>
    <xf numFmtId="10" fontId="16" fillId="8" borderId="15" xfId="1" applyNumberFormat="1" applyFont="1" applyFill="1" applyBorder="1" applyAlignment="1">
      <alignment horizontal="center" vertical="center" wrapText="1"/>
    </xf>
    <xf numFmtId="164" fontId="16" fillId="0" borderId="15" xfId="3" applyNumberFormat="1" applyFont="1" applyBorder="1" applyAlignment="1">
      <alignment horizontal="center" vertical="center" wrapText="1"/>
    </xf>
    <xf numFmtId="9" fontId="16" fillId="8" borderId="15" xfId="3" applyNumberFormat="1" applyFont="1" applyFill="1" applyBorder="1" applyAlignment="1">
      <alignment horizontal="center" vertical="center" wrapText="1"/>
    </xf>
    <xf numFmtId="9" fontId="16" fillId="0" borderId="15" xfId="3" applyNumberFormat="1" applyFont="1" applyBorder="1" applyAlignment="1">
      <alignment horizontal="center" vertical="center" wrapText="1"/>
    </xf>
    <xf numFmtId="164" fontId="15" fillId="9" borderId="15" xfId="1" applyNumberFormat="1" applyFont="1" applyFill="1" applyBorder="1" applyAlignment="1">
      <alignment horizontal="center" vertical="center" wrapText="1"/>
    </xf>
    <xf numFmtId="164" fontId="16" fillId="8" borderId="15" xfId="7" applyNumberFormat="1" applyFont="1" applyFill="1" applyBorder="1" applyAlignment="1">
      <alignment horizontal="center" vertical="center" wrapText="1"/>
    </xf>
    <xf numFmtId="9" fontId="16" fillId="8" borderId="15" xfId="7" applyFont="1" applyFill="1" applyBorder="1" applyAlignment="1">
      <alignment horizontal="center" vertical="center" wrapText="1"/>
    </xf>
    <xf numFmtId="49" fontId="16" fillId="8" borderId="15" xfId="1" applyNumberFormat="1" applyFont="1" applyFill="1" applyBorder="1" applyAlignment="1">
      <alignment horizontal="center" vertical="center" wrapText="1"/>
    </xf>
    <xf numFmtId="0" fontId="16" fillId="0" borderId="1" xfId="1" applyFont="1" applyAlignment="1">
      <alignment wrapText="1"/>
    </xf>
    <xf numFmtId="0" fontId="16" fillId="0" borderId="13" xfId="1" applyFont="1" applyBorder="1" applyAlignment="1">
      <alignment wrapText="1"/>
    </xf>
    <xf numFmtId="10" fontId="15" fillId="9" borderId="15" xfId="1" applyNumberFormat="1" applyFont="1" applyFill="1" applyBorder="1" applyAlignment="1">
      <alignment horizontal="center" vertical="center" wrapText="1"/>
    </xf>
    <xf numFmtId="1" fontId="16" fillId="8" borderId="23" xfId="1" applyNumberFormat="1" applyFont="1" applyFill="1" applyBorder="1" applyAlignment="1">
      <alignment horizontal="center" vertical="center" wrapText="1"/>
    </xf>
    <xf numFmtId="164" fontId="16" fillId="8" borderId="15" xfId="1" applyNumberFormat="1" applyFont="1" applyFill="1" applyBorder="1" applyAlignment="1">
      <alignment horizontal="center" vertical="center" wrapText="1"/>
    </xf>
    <xf numFmtId="165" fontId="16" fillId="9" borderId="15" xfId="1" applyNumberFormat="1" applyFont="1" applyFill="1" applyBorder="1" applyAlignment="1">
      <alignment horizontal="center" vertical="center" wrapText="1"/>
    </xf>
    <xf numFmtId="2" fontId="16" fillId="8" borderId="15" xfId="1" applyNumberFormat="1" applyFont="1" applyFill="1" applyBorder="1" applyAlignment="1">
      <alignment horizontal="center" vertical="center" wrapText="1"/>
    </xf>
    <xf numFmtId="164" fontId="16" fillId="0" borderId="15" xfId="1" applyNumberFormat="1" applyFont="1" applyBorder="1" applyAlignment="1">
      <alignment horizontal="center" vertical="center" wrapText="1"/>
    </xf>
    <xf numFmtId="165" fontId="15" fillId="9" borderId="15" xfId="1" applyNumberFormat="1" applyFont="1" applyFill="1" applyBorder="1" applyAlignment="1">
      <alignment horizontal="center" vertical="center" wrapText="1"/>
    </xf>
    <xf numFmtId="9" fontId="16" fillId="9" borderId="15" xfId="1" applyNumberFormat="1" applyFont="1" applyFill="1" applyBorder="1" applyAlignment="1">
      <alignment horizontal="center" vertical="center" wrapText="1"/>
    </xf>
    <xf numFmtId="0" fontId="16" fillId="0" borderId="1" xfId="1" applyFont="1" applyAlignment="1">
      <alignment horizontal="center" vertical="center" wrapText="1"/>
    </xf>
    <xf numFmtId="0" fontId="16" fillId="0" borderId="13" xfId="1" applyFont="1" applyBorder="1" applyAlignment="1">
      <alignment horizontal="center" vertical="center" wrapText="1"/>
    </xf>
    <xf numFmtId="0" fontId="23" fillId="14" borderId="15" xfId="1" applyFont="1" applyFill="1" applyBorder="1" applyAlignment="1">
      <alignment horizontal="center" vertical="center" wrapText="1"/>
    </xf>
    <xf numFmtId="0" fontId="24" fillId="17" borderId="15" xfId="1" applyFont="1" applyFill="1" applyBorder="1" applyAlignment="1">
      <alignment horizontal="center" vertical="center" wrapText="1"/>
    </xf>
    <xf numFmtId="0" fontId="25" fillId="17" borderId="15" xfId="1" applyFont="1" applyFill="1" applyBorder="1" applyAlignment="1">
      <alignment horizontal="center" vertical="center" wrapText="1"/>
    </xf>
    <xf numFmtId="0" fontId="23" fillId="13" borderId="15" xfId="1" applyFont="1" applyFill="1" applyBorder="1" applyAlignment="1">
      <alignment horizontal="center" vertical="center" wrapText="1"/>
    </xf>
    <xf numFmtId="0" fontId="25" fillId="18" borderId="15" xfId="1" applyFont="1" applyFill="1" applyBorder="1" applyAlignment="1">
      <alignment horizontal="center" vertical="center" wrapText="1"/>
    </xf>
    <xf numFmtId="0" fontId="25" fillId="15" borderId="15" xfId="1" applyFont="1" applyFill="1" applyBorder="1" applyAlignment="1">
      <alignment horizontal="center" vertical="center" wrapText="1"/>
    </xf>
    <xf numFmtId="0" fontId="25" fillId="9" borderId="15" xfId="1" applyFont="1" applyFill="1" applyBorder="1" applyAlignment="1">
      <alignment horizontal="center" vertical="center" wrapText="1"/>
    </xf>
    <xf numFmtId="0" fontId="26" fillId="19" borderId="15" xfId="1" applyFont="1" applyFill="1" applyBorder="1" applyAlignment="1">
      <alignment horizontal="center" vertical="center" wrapText="1"/>
    </xf>
    <xf numFmtId="0" fontId="26" fillId="20" borderId="15" xfId="1" applyFont="1" applyFill="1" applyBorder="1" applyAlignment="1">
      <alignment horizontal="center" vertical="center" wrapText="1"/>
    </xf>
    <xf numFmtId="49" fontId="23" fillId="14" borderId="15" xfId="1" applyNumberFormat="1" applyFont="1" applyFill="1" applyBorder="1" applyAlignment="1">
      <alignment horizontal="center" vertical="center" wrapText="1"/>
    </xf>
    <xf numFmtId="0" fontId="25" fillId="0" borderId="1" xfId="1" applyFont="1" applyAlignment="1">
      <alignment vertical="center" wrapText="1"/>
    </xf>
    <xf numFmtId="0" fontId="25" fillId="0" borderId="13" xfId="1" applyFont="1" applyBorder="1" applyAlignment="1">
      <alignment vertical="center" wrapText="1"/>
    </xf>
    <xf numFmtId="0" fontId="27" fillId="0" borderId="1" xfId="1" applyFont="1" applyAlignment="1">
      <alignment horizontal="center" vertical="center" wrapText="1"/>
    </xf>
    <xf numFmtId="0" fontId="27" fillId="0" borderId="1" xfId="1" applyFont="1" applyAlignment="1">
      <alignment horizontal="center" vertical="top" wrapText="1"/>
    </xf>
    <xf numFmtId="0" fontId="25" fillId="0" borderId="1" xfId="1" applyFont="1" applyAlignment="1">
      <alignment vertical="center"/>
    </xf>
    <xf numFmtId="0" fontId="15" fillId="0" borderId="13" xfId="1" applyFont="1" applyBorder="1" applyAlignment="1">
      <alignment vertical="center"/>
    </xf>
    <xf numFmtId="0" fontId="25" fillId="0" borderId="17" xfId="1" applyFont="1" applyBorder="1" applyAlignment="1">
      <alignment horizontal="left" vertical="center"/>
    </xf>
    <xf numFmtId="0" fontId="25" fillId="0" borderId="19" xfId="1" applyFont="1" applyBorder="1" applyAlignment="1">
      <alignment horizontal="left" vertical="center"/>
    </xf>
    <xf numFmtId="0" fontId="25" fillId="0" borderId="16" xfId="1" applyFont="1" applyBorder="1" applyAlignment="1">
      <alignment horizontal="left" vertical="center"/>
    </xf>
    <xf numFmtId="0" fontId="25" fillId="8" borderId="27" xfId="1" applyFont="1" applyFill="1" applyBorder="1" applyAlignment="1">
      <alignment vertical="center"/>
    </xf>
    <xf numFmtId="0" fontId="25" fillId="0" borderId="17" xfId="1" applyFont="1" applyBorder="1" applyAlignment="1">
      <alignment vertical="center"/>
    </xf>
    <xf numFmtId="0" fontId="25" fillId="0" borderId="19" xfId="1" applyFont="1" applyBorder="1" applyAlignment="1">
      <alignment vertical="center"/>
    </xf>
    <xf numFmtId="0" fontId="25" fillId="0" borderId="16" xfId="1" applyFont="1" applyBorder="1" applyAlignment="1">
      <alignment vertical="center"/>
    </xf>
    <xf numFmtId="0" fontId="25" fillId="0" borderId="17" xfId="1" applyFont="1" applyBorder="1" applyAlignment="1">
      <alignment vertical="top"/>
    </xf>
    <xf numFmtId="0" fontId="25" fillId="0" borderId="19" xfId="1" applyFont="1" applyBorder="1" applyAlignment="1">
      <alignment horizontal="left" vertical="top"/>
    </xf>
    <xf numFmtId="0" fontId="28" fillId="0" borderId="1" xfId="1" applyFont="1" applyAlignment="1">
      <alignment vertical="center" wrapText="1"/>
    </xf>
    <xf numFmtId="0" fontId="29" fillId="0" borderId="1" xfId="1" applyFont="1" applyAlignment="1">
      <alignment vertical="center" wrapText="1"/>
    </xf>
    <xf numFmtId="0" fontId="29" fillId="0" borderId="1" xfId="1" applyFont="1" applyAlignment="1">
      <alignment vertical="top" wrapText="1"/>
    </xf>
    <xf numFmtId="0" fontId="30" fillId="0" borderId="1" xfId="1" applyFont="1" applyAlignment="1">
      <alignment horizontal="left" vertical="top" wrapText="1"/>
    </xf>
    <xf numFmtId="0" fontId="15" fillId="14" borderId="12" xfId="1" applyFont="1" applyFill="1" applyBorder="1" applyAlignment="1">
      <alignment vertical="center" wrapText="1"/>
    </xf>
    <xf numFmtId="0" fontId="15" fillId="14" borderId="11" xfId="1" applyFont="1" applyFill="1" applyBorder="1" applyAlignment="1">
      <alignment vertical="center" wrapText="1"/>
    </xf>
    <xf numFmtId="0" fontId="28" fillId="14" borderId="11" xfId="1" applyFont="1" applyFill="1" applyBorder="1" applyAlignment="1">
      <alignment vertical="center" wrapText="1"/>
    </xf>
    <xf numFmtId="0" fontId="29" fillId="14" borderId="11" xfId="1" applyFont="1" applyFill="1" applyBorder="1" applyAlignment="1">
      <alignment vertical="center" wrapText="1"/>
    </xf>
    <xf numFmtId="0" fontId="29" fillId="14" borderId="11" xfId="1" applyFont="1" applyFill="1" applyBorder="1" applyAlignment="1">
      <alignment vertical="top" wrapText="1"/>
    </xf>
    <xf numFmtId="0" fontId="30" fillId="14" borderId="1" xfId="1" applyFont="1" applyFill="1" applyAlignment="1">
      <alignment horizontal="left" vertical="top" wrapText="1"/>
    </xf>
    <xf numFmtId="49" fontId="29" fillId="14" borderId="1" xfId="1" applyNumberFormat="1" applyFont="1" applyFill="1" applyAlignment="1">
      <alignment vertical="center"/>
    </xf>
    <xf numFmtId="0" fontId="16" fillId="0" borderId="1" xfId="1" applyFont="1" applyAlignment="1">
      <alignment vertical="center" wrapText="1" shrinkToFit="1"/>
    </xf>
    <xf numFmtId="0" fontId="24" fillId="0" borderId="1" xfId="1" applyFont="1" applyAlignment="1">
      <alignment vertical="center" wrapText="1" shrinkToFit="1"/>
    </xf>
    <xf numFmtId="0" fontId="16" fillId="0" borderId="28" xfId="1" applyFont="1" applyBorder="1" applyAlignment="1">
      <alignment vertical="center" wrapText="1" shrinkToFit="1"/>
    </xf>
    <xf numFmtId="0" fontId="16" fillId="0" borderId="29" xfId="1" applyFont="1" applyBorder="1" applyAlignment="1">
      <alignment vertical="center" wrapText="1" shrinkToFit="1"/>
    </xf>
    <xf numFmtId="0" fontId="24" fillId="0" borderId="29" xfId="1" applyFont="1" applyBorder="1" applyAlignment="1">
      <alignment vertical="center" wrapText="1" shrinkToFit="1"/>
    </xf>
    <xf numFmtId="0" fontId="16" fillId="0" borderId="20" xfId="1" applyFont="1" applyBorder="1" applyAlignment="1">
      <alignment vertical="center" wrapText="1" shrinkToFit="1"/>
    </xf>
    <xf numFmtId="0" fontId="16" fillId="0" borderId="15" xfId="1" applyFont="1" applyBorder="1" applyAlignment="1">
      <alignment horizontal="left" vertical="top" wrapText="1" shrinkToFit="1"/>
    </xf>
    <xf numFmtId="0" fontId="20" fillId="0" borderId="15" xfId="9" applyFont="1" applyBorder="1" applyAlignment="1">
      <alignment horizontal="left" vertical="top" wrapText="1"/>
    </xf>
    <xf numFmtId="0" fontId="16" fillId="8" borderId="15" xfId="5" applyFont="1" applyFill="1" applyBorder="1" applyAlignment="1">
      <alignment horizontal="left" vertical="top" wrapText="1"/>
    </xf>
    <xf numFmtId="0" fontId="20" fillId="8" borderId="15" xfId="10" applyFont="1" applyFill="1" applyBorder="1" applyAlignment="1">
      <alignment horizontal="center" vertical="center" wrapText="1"/>
    </xf>
    <xf numFmtId="0" fontId="16" fillId="0" borderId="15" xfId="5" applyFont="1" applyBorder="1" applyAlignment="1">
      <alignment horizontal="left" vertical="top" wrapText="1"/>
    </xf>
    <xf numFmtId="0" fontId="16" fillId="0" borderId="15" xfId="1" applyFont="1" applyBorder="1" applyAlignment="1">
      <alignment horizontal="left" vertical="top" wrapText="1"/>
    </xf>
    <xf numFmtId="0" fontId="20" fillId="8" borderId="15" xfId="11" applyFont="1" applyFill="1" applyBorder="1" applyAlignment="1">
      <alignment horizontal="center" vertical="center" wrapText="1"/>
    </xf>
    <xf numFmtId="0" fontId="20" fillId="0" borderId="15" xfId="11" applyFont="1" applyBorder="1" applyAlignment="1">
      <alignment horizontal="left" vertical="top" wrapText="1"/>
    </xf>
    <xf numFmtId="0" fontId="20" fillId="0" borderId="15" xfId="1" applyFont="1" applyBorder="1" applyAlignment="1">
      <alignment horizontal="left" vertical="top" wrapText="1" shrinkToFit="1"/>
    </xf>
    <xf numFmtId="0" fontId="16" fillId="8" borderId="1" xfId="9" applyFont="1" applyFill="1"/>
    <xf numFmtId="0" fontId="16" fillId="8" borderId="20" xfId="9" applyFont="1" applyFill="1" applyBorder="1"/>
    <xf numFmtId="0" fontId="16" fillId="12" borderId="15" xfId="1" applyFont="1" applyFill="1" applyBorder="1" applyAlignment="1">
      <alignment horizontal="left" vertical="top" wrapText="1" shrinkToFit="1"/>
    </xf>
    <xf numFmtId="0" fontId="20" fillId="12" borderId="15" xfId="11" applyFont="1" applyFill="1" applyBorder="1" applyAlignment="1">
      <alignment horizontal="left" vertical="top" wrapText="1"/>
    </xf>
    <xf numFmtId="0" fontId="16" fillId="12" borderId="15" xfId="1" applyFont="1" applyFill="1" applyBorder="1" applyAlignment="1">
      <alignment horizontal="left" vertical="top" wrapText="1"/>
    </xf>
    <xf numFmtId="0" fontId="20" fillId="12" borderId="15" xfId="11" applyFont="1" applyFill="1" applyBorder="1" applyAlignment="1">
      <alignment horizontal="center" vertical="center" wrapText="1"/>
    </xf>
    <xf numFmtId="0" fontId="23" fillId="14" borderId="15" xfId="1" applyFont="1" applyFill="1" applyBorder="1" applyAlignment="1">
      <alignment horizontal="center" vertical="center" wrapText="1" shrinkToFit="1"/>
    </xf>
    <xf numFmtId="0" fontId="16" fillId="8" borderId="1" xfId="9" applyFont="1" applyFill="1" applyAlignment="1">
      <alignment horizontal="left" vertical="center"/>
    </xf>
    <xf numFmtId="0" fontId="16" fillId="8" borderId="20" xfId="9" applyFont="1" applyFill="1" applyBorder="1" applyAlignment="1">
      <alignment horizontal="left" vertical="center"/>
    </xf>
    <xf numFmtId="0" fontId="15" fillId="0" borderId="20" xfId="1" applyFont="1" applyBorder="1" applyAlignment="1">
      <alignment vertical="center" wrapText="1"/>
    </xf>
    <xf numFmtId="49" fontId="29" fillId="0" borderId="30" xfId="1" applyNumberFormat="1" applyFont="1" applyBorder="1" applyAlignment="1">
      <alignment vertical="center"/>
    </xf>
    <xf numFmtId="0" fontId="16" fillId="14" borderId="31" xfId="1" applyFont="1" applyFill="1" applyBorder="1" applyAlignment="1">
      <alignment vertical="center" wrapText="1" shrinkToFit="1"/>
    </xf>
    <xf numFmtId="0" fontId="30" fillId="14" borderId="32" xfId="1" applyFont="1" applyFill="1" applyBorder="1" applyAlignment="1">
      <alignment vertical="center"/>
    </xf>
    <xf numFmtId="49" fontId="30" fillId="14" borderId="33" xfId="1" applyNumberFormat="1" applyFont="1" applyFill="1" applyBorder="1" applyAlignment="1">
      <alignment vertical="center"/>
    </xf>
    <xf numFmtId="0" fontId="16" fillId="0" borderId="1" xfId="12"/>
    <xf numFmtId="0" fontId="0" fillId="0" borderId="1" xfId="1" applyFont="1" applyAlignment="1">
      <alignment vertical="center" wrapText="1" shrinkToFit="1"/>
    </xf>
    <xf numFmtId="0" fontId="34" fillId="0" borderId="15" xfId="12" applyFont="1" applyBorder="1" applyAlignment="1">
      <alignment horizontal="left" vertical="top" wrapText="1"/>
    </xf>
    <xf numFmtId="0" fontId="34" fillId="0" borderId="15" xfId="12" applyFont="1" applyBorder="1" applyAlignment="1">
      <alignment vertical="center" wrapText="1"/>
    </xf>
    <xf numFmtId="0" fontId="34" fillId="0" borderId="15" xfId="12" applyFont="1" applyBorder="1" applyAlignment="1">
      <alignment vertical="top" wrapText="1"/>
    </xf>
    <xf numFmtId="0" fontId="20" fillId="8" borderId="15" xfId="1" applyFont="1" applyFill="1" applyBorder="1" applyAlignment="1">
      <alignment horizontal="left" vertical="top" wrapText="1" shrinkToFit="1"/>
    </xf>
    <xf numFmtId="0" fontId="34" fillId="8" borderId="15" xfId="12" applyFont="1" applyFill="1" applyBorder="1" applyAlignment="1">
      <alignment horizontal="left" vertical="top" wrapText="1"/>
    </xf>
    <xf numFmtId="0" fontId="34" fillId="8" borderId="15" xfId="12" applyFont="1" applyFill="1" applyBorder="1" applyAlignment="1">
      <alignment horizontal="left" vertical="center" wrapText="1"/>
    </xf>
    <xf numFmtId="0" fontId="34" fillId="8" borderId="15" xfId="12" applyFont="1" applyFill="1" applyBorder="1" applyAlignment="1">
      <alignment vertical="top" wrapText="1"/>
    </xf>
    <xf numFmtId="0" fontId="20" fillId="12" borderId="15" xfId="1" applyFont="1" applyFill="1" applyBorder="1" applyAlignment="1">
      <alignment horizontal="left" vertical="top" wrapText="1" shrinkToFit="1"/>
    </xf>
    <xf numFmtId="0" fontId="34" fillId="12" borderId="15" xfId="12" applyFont="1" applyFill="1" applyBorder="1" applyAlignment="1">
      <alignment horizontal="left" vertical="top" wrapText="1"/>
    </xf>
    <xf numFmtId="0" fontId="34" fillId="12" borderId="15" xfId="12" applyFont="1" applyFill="1" applyBorder="1" applyAlignment="1">
      <alignment horizontal="left" vertical="center" wrapText="1"/>
    </xf>
    <xf numFmtId="0" fontId="34" fillId="12" borderId="15" xfId="12" applyFont="1" applyFill="1" applyBorder="1" applyAlignment="1">
      <alignment vertical="top" wrapText="1"/>
    </xf>
    <xf numFmtId="0" fontId="16" fillId="8" borderId="15" xfId="5" applyFont="1" applyFill="1" applyBorder="1" applyAlignment="1">
      <alignment vertical="top" wrapText="1"/>
    </xf>
    <xf numFmtId="0" fontId="20" fillId="8" borderId="15" xfId="5" applyFont="1" applyFill="1" applyBorder="1" applyAlignment="1">
      <alignment horizontal="left" vertical="top" wrapText="1"/>
    </xf>
    <xf numFmtId="0" fontId="16" fillId="8" borderId="1" xfId="1" applyFont="1" applyFill="1" applyAlignment="1">
      <alignment horizontal="left" vertical="top" wrapText="1" shrinkToFit="1"/>
    </xf>
    <xf numFmtId="0" fontId="17" fillId="0" borderId="1" xfId="5"/>
    <xf numFmtId="0" fontId="34" fillId="0" borderId="15" xfId="12" applyFont="1" applyBorder="1" applyAlignment="1">
      <alignment horizontal="left" vertical="center" wrapText="1"/>
    </xf>
    <xf numFmtId="0" fontId="25" fillId="0" borderId="1" xfId="1" applyFont="1" applyAlignment="1">
      <alignment vertical="center" wrapText="1" shrinkToFit="1"/>
    </xf>
    <xf numFmtId="14" fontId="20" fillId="0" borderId="15" xfId="1" applyNumberFormat="1" applyFont="1" applyBorder="1" applyAlignment="1">
      <alignment horizontal="left" vertical="top" wrapText="1" shrinkToFit="1"/>
    </xf>
    <xf numFmtId="14" fontId="20" fillId="0" borderId="15" xfId="1" applyNumberFormat="1" applyFont="1" applyBorder="1" applyAlignment="1">
      <alignment horizontal="left" vertical="center" wrapText="1" shrinkToFit="1"/>
    </xf>
    <xf numFmtId="14" fontId="20" fillId="12" borderId="15" xfId="1" applyNumberFormat="1" applyFont="1" applyFill="1" applyBorder="1" applyAlignment="1">
      <alignment horizontal="left" vertical="top" wrapText="1" shrinkToFit="1"/>
    </xf>
    <xf numFmtId="14" fontId="20" fillId="12" borderId="15" xfId="1" applyNumberFormat="1" applyFont="1" applyFill="1" applyBorder="1" applyAlignment="1">
      <alignment horizontal="left" vertical="center" wrapText="1" shrinkToFit="1"/>
    </xf>
    <xf numFmtId="0" fontId="25" fillId="22" borderId="15" xfId="1" applyFont="1" applyFill="1" applyBorder="1" applyAlignment="1">
      <alignment horizontal="center" vertical="center" wrapText="1" shrinkToFit="1"/>
    </xf>
    <xf numFmtId="0" fontId="34" fillId="0" borderId="15" xfId="12" applyFont="1" applyBorder="1" applyAlignment="1">
      <alignment horizontal="center" vertical="center" wrapText="1"/>
    </xf>
    <xf numFmtId="0" fontId="37" fillId="3" borderId="2" xfId="5" applyFont="1" applyFill="1" applyBorder="1" applyAlignment="1">
      <alignment horizontal="center" vertical="center" wrapText="1"/>
    </xf>
    <xf numFmtId="0" fontId="38" fillId="3" borderId="2" xfId="5" applyFont="1" applyFill="1" applyBorder="1" applyAlignment="1">
      <alignment horizontal="center" vertical="center" wrapText="1"/>
    </xf>
    <xf numFmtId="0" fontId="37" fillId="23" borderId="2" xfId="5" applyFont="1" applyFill="1" applyBorder="1" applyAlignment="1">
      <alignment horizontal="center" vertical="center" wrapText="1"/>
    </xf>
    <xf numFmtId="164" fontId="37" fillId="3" borderId="2" xfId="5" applyNumberFormat="1" applyFont="1" applyFill="1" applyBorder="1" applyAlignment="1">
      <alignment horizontal="center" vertical="center" wrapText="1"/>
    </xf>
    <xf numFmtId="0" fontId="39" fillId="3" borderId="3" xfId="5" applyFont="1" applyFill="1" applyBorder="1" applyAlignment="1">
      <alignment horizontal="center" vertical="center" wrapText="1"/>
    </xf>
    <xf numFmtId="0" fontId="40" fillId="4" borderId="2" xfId="5" applyFont="1" applyFill="1" applyBorder="1" applyAlignment="1">
      <alignment horizontal="center" vertical="center" shrinkToFit="1"/>
    </xf>
    <xf numFmtId="9" fontId="39" fillId="4" borderId="3" xfId="5" applyNumberFormat="1" applyFont="1" applyFill="1" applyBorder="1" applyAlignment="1">
      <alignment horizontal="center" vertical="center" wrapText="1"/>
    </xf>
    <xf numFmtId="165" fontId="37" fillId="3" borderId="2" xfId="5" applyNumberFormat="1" applyFont="1" applyFill="1" applyBorder="1" applyAlignment="1">
      <alignment horizontal="center" vertical="center" wrapText="1"/>
    </xf>
    <xf numFmtId="164" fontId="37" fillId="24" borderId="2" xfId="5" applyNumberFormat="1" applyFont="1" applyFill="1" applyBorder="1" applyAlignment="1">
      <alignment horizontal="center" vertical="center" wrapText="1"/>
    </xf>
    <xf numFmtId="0" fontId="37" fillId="3" borderId="3" xfId="5" applyFont="1" applyFill="1" applyBorder="1" applyAlignment="1">
      <alignment horizontal="center" vertical="center" wrapText="1"/>
    </xf>
    <xf numFmtId="0" fontId="37" fillId="25" borderId="2" xfId="5" applyFont="1" applyFill="1" applyBorder="1" applyAlignment="1">
      <alignment horizontal="center" vertical="center" wrapText="1"/>
    </xf>
    <xf numFmtId="0" fontId="37" fillId="26" borderId="2" xfId="5" applyFont="1" applyFill="1" applyBorder="1" applyAlignment="1">
      <alignment horizontal="center" vertical="center" wrapText="1"/>
    </xf>
    <xf numFmtId="0" fontId="20" fillId="8" borderId="15" xfId="6" applyFont="1" applyFill="1" applyBorder="1" applyAlignment="1">
      <alignment vertical="top" wrapText="1"/>
    </xf>
    <xf numFmtId="0" fontId="16" fillId="8" borderId="15" xfId="1" applyFont="1" applyFill="1" applyBorder="1" applyAlignment="1">
      <alignment vertical="center" wrapText="1"/>
    </xf>
    <xf numFmtId="9" fontId="37" fillId="9" borderId="15" xfId="1" applyNumberFormat="1" applyFont="1" applyFill="1" applyBorder="1" applyAlignment="1">
      <alignment horizontal="center" vertical="center" wrapText="1"/>
    </xf>
    <xf numFmtId="164" fontId="37" fillId="9" borderId="15" xfId="1" applyNumberFormat="1" applyFont="1" applyFill="1" applyBorder="1" applyAlignment="1">
      <alignment horizontal="center" vertical="center" wrapText="1"/>
    </xf>
    <xf numFmtId="164" fontId="37" fillId="8" borderId="15" xfId="1" applyNumberFormat="1" applyFont="1" applyFill="1" applyBorder="1" applyAlignment="1">
      <alignment horizontal="center" vertical="center" wrapText="1"/>
    </xf>
    <xf numFmtId="0" fontId="37" fillId="27" borderId="2" xfId="5" applyFont="1" applyFill="1" applyBorder="1" applyAlignment="1">
      <alignment horizontal="center" vertical="center" wrapText="1"/>
    </xf>
    <xf numFmtId="10" fontId="37" fillId="3" borderId="2" xfId="5" applyNumberFormat="1" applyFont="1" applyFill="1" applyBorder="1" applyAlignment="1">
      <alignment horizontal="center" vertical="center" wrapText="1"/>
    </xf>
    <xf numFmtId="0" fontId="37" fillId="24" borderId="2" xfId="5" applyFont="1" applyFill="1" applyBorder="1" applyAlignment="1">
      <alignment horizontal="center" vertical="center" wrapText="1"/>
    </xf>
    <xf numFmtId="0" fontId="40" fillId="4" borderId="9" xfId="5" applyFont="1" applyFill="1" applyBorder="1" applyAlignment="1">
      <alignment horizontal="center" vertical="center" shrinkToFit="1"/>
    </xf>
    <xf numFmtId="164" fontId="37" fillId="24" borderId="2" xfId="7" applyNumberFormat="1" applyFont="1" applyFill="1" applyBorder="1" applyAlignment="1">
      <alignment horizontal="center" vertical="center" wrapText="1"/>
    </xf>
    <xf numFmtId="164" fontId="37" fillId="3" borderId="2" xfId="7" applyNumberFormat="1" applyFont="1" applyFill="1" applyBorder="1" applyAlignment="1">
      <alignment horizontal="center" vertical="center" wrapText="1"/>
    </xf>
    <xf numFmtId="0" fontId="37" fillId="28" borderId="2" xfId="5" applyFont="1" applyFill="1" applyBorder="1" applyAlignment="1">
      <alignment horizontal="center" vertical="center" wrapText="1"/>
    </xf>
    <xf numFmtId="1" fontId="38" fillId="3" borderId="2" xfId="5" applyNumberFormat="1" applyFont="1" applyFill="1" applyBorder="1" applyAlignment="1">
      <alignment horizontal="center" vertical="center" wrapText="1"/>
    </xf>
    <xf numFmtId="9" fontId="37" fillId="3" borderId="2" xfId="7" applyFont="1" applyFill="1" applyBorder="1" applyAlignment="1">
      <alignment horizontal="center" vertical="center" wrapText="1"/>
    </xf>
    <xf numFmtId="167" fontId="37" fillId="24" borderId="2" xfId="5" applyNumberFormat="1" applyFont="1" applyFill="1" applyBorder="1" applyAlignment="1">
      <alignment horizontal="center" vertical="center" wrapText="1"/>
    </xf>
    <xf numFmtId="164" fontId="38" fillId="3" borderId="2" xfId="5" applyNumberFormat="1" applyFont="1" applyFill="1" applyBorder="1" applyAlignment="1">
      <alignment horizontal="center" vertical="center" wrapText="1"/>
    </xf>
    <xf numFmtId="0" fontId="38" fillId="3" borderId="9" xfId="5" applyFont="1" applyFill="1" applyBorder="1" applyAlignment="1">
      <alignment horizontal="center" vertical="center" wrapText="1"/>
    </xf>
    <xf numFmtId="0" fontId="37" fillId="3" borderId="9" xfId="5" applyFont="1" applyFill="1" applyBorder="1" applyAlignment="1">
      <alignment horizontal="center" vertical="center" wrapText="1"/>
    </xf>
    <xf numFmtId="167" fontId="37" fillId="3" borderId="2" xfId="5" applyNumberFormat="1" applyFont="1" applyFill="1" applyBorder="1" applyAlignment="1">
      <alignment horizontal="center" vertical="center" wrapText="1"/>
    </xf>
    <xf numFmtId="0" fontId="37" fillId="3" borderId="14" xfId="5" applyFont="1" applyFill="1" applyBorder="1" applyAlignment="1">
      <alignment horizontal="center" vertical="center" wrapText="1"/>
    </xf>
    <xf numFmtId="2" fontId="37" fillId="3" borderId="9" xfId="5" applyNumberFormat="1" applyFont="1" applyFill="1" applyBorder="1" applyAlignment="1">
      <alignment horizontal="center" vertical="center" wrapText="1"/>
    </xf>
    <xf numFmtId="0" fontId="37" fillId="28" borderId="9" xfId="5" applyFont="1" applyFill="1" applyBorder="1" applyAlignment="1">
      <alignment horizontal="center" vertical="center" wrapText="1"/>
    </xf>
    <xf numFmtId="0" fontId="20" fillId="8" borderId="23" xfId="6" applyFont="1" applyFill="1" applyBorder="1" applyAlignment="1">
      <alignment horizontal="left" vertical="top" wrapText="1"/>
    </xf>
    <xf numFmtId="0" fontId="16" fillId="8" borderId="23" xfId="1" applyFont="1" applyFill="1" applyBorder="1" applyAlignment="1">
      <alignment horizontal="left" vertical="center" wrapText="1"/>
    </xf>
    <xf numFmtId="0" fontId="39" fillId="25" borderId="3" xfId="5" applyFont="1" applyFill="1" applyBorder="1" applyAlignment="1">
      <alignment horizontal="center" vertical="center" wrapText="1"/>
    </xf>
    <xf numFmtId="9" fontId="38" fillId="3" borderId="2" xfId="5" applyNumberFormat="1" applyFont="1" applyFill="1" applyBorder="1" applyAlignment="1">
      <alignment horizontal="center" vertical="center" wrapText="1"/>
    </xf>
    <xf numFmtId="9" fontId="37" fillId="3" borderId="2" xfId="5" applyNumberFormat="1" applyFont="1" applyFill="1" applyBorder="1" applyAlignment="1">
      <alignment horizontal="center" vertical="center" wrapText="1"/>
    </xf>
    <xf numFmtId="0" fontId="37" fillId="3" borderId="1" xfId="5" applyFont="1" applyFill="1" applyAlignment="1">
      <alignment horizontal="center" vertical="center"/>
    </xf>
    <xf numFmtId="0" fontId="40" fillId="4" borderId="2" xfId="5" applyFont="1" applyFill="1" applyBorder="1" applyAlignment="1">
      <alignment horizontal="center" vertical="center" wrapText="1"/>
    </xf>
    <xf numFmtId="164" fontId="37" fillId="24" borderId="3" xfId="7" applyNumberFormat="1" applyFont="1" applyFill="1" applyBorder="1" applyAlignment="1">
      <alignment horizontal="center" vertical="center" wrapText="1"/>
    </xf>
    <xf numFmtId="0" fontId="37" fillId="29" borderId="2" xfId="5" applyFont="1" applyFill="1" applyBorder="1" applyAlignment="1">
      <alignment horizontal="center" vertical="center" wrapText="1"/>
    </xf>
    <xf numFmtId="0" fontId="37" fillId="24" borderId="3" xfId="5" applyFont="1" applyFill="1" applyBorder="1" applyAlignment="1">
      <alignment horizontal="center" vertical="center" wrapText="1"/>
    </xf>
    <xf numFmtId="164" fontId="37" fillId="3" borderId="3" xfId="5" applyNumberFormat="1" applyFont="1" applyFill="1" applyBorder="1" applyAlignment="1">
      <alignment horizontal="center" vertical="center" wrapText="1"/>
    </xf>
    <xf numFmtId="165" fontId="37" fillId="24" borderId="2" xfId="5" applyNumberFormat="1" applyFont="1" applyFill="1" applyBorder="1" applyAlignment="1">
      <alignment horizontal="center" vertical="center" wrapText="1"/>
    </xf>
    <xf numFmtId="166" fontId="37" fillId="24" borderId="2" xfId="5" applyNumberFormat="1" applyFont="1" applyFill="1" applyBorder="1" applyAlignment="1">
      <alignment horizontal="center" vertical="center" wrapText="1"/>
    </xf>
    <xf numFmtId="0" fontId="37" fillId="30" borderId="2" xfId="5" applyFont="1" applyFill="1" applyBorder="1" applyAlignment="1">
      <alignment horizontal="center" vertical="center" wrapText="1"/>
    </xf>
    <xf numFmtId="165" fontId="37" fillId="3" borderId="3" xfId="5" applyNumberFormat="1" applyFont="1" applyFill="1" applyBorder="1" applyAlignment="1">
      <alignment horizontal="center" vertical="center" wrapText="1"/>
    </xf>
    <xf numFmtId="0" fontId="16" fillId="8" borderId="1" xfId="5" applyFont="1" applyFill="1"/>
    <xf numFmtId="0" fontId="41" fillId="8" borderId="1" xfId="5" applyFont="1" applyFill="1" applyAlignment="1">
      <alignment horizontal="center"/>
    </xf>
    <xf numFmtId="0" fontId="23" fillId="8" borderId="1" xfId="5" applyFont="1" applyFill="1" applyAlignment="1">
      <alignment vertical="top"/>
    </xf>
    <xf numFmtId="0" fontId="23" fillId="8" borderId="1" xfId="13" applyFont="1" applyFill="1" applyAlignment="1">
      <alignment horizontal="center" vertical="center" wrapText="1"/>
    </xf>
    <xf numFmtId="0" fontId="23" fillId="8" borderId="1" xfId="13" applyFont="1" applyFill="1" applyAlignment="1">
      <alignment horizontal="left" vertical="top" wrapText="1"/>
    </xf>
    <xf numFmtId="0" fontId="23" fillId="8" borderId="1" xfId="13" applyFont="1" applyFill="1" applyAlignment="1">
      <alignment horizontal="left" vertical="center"/>
    </xf>
    <xf numFmtId="0" fontId="16" fillId="0" borderId="1" xfId="5" applyFont="1"/>
    <xf numFmtId="0" fontId="16" fillId="0" borderId="1" xfId="1" applyFont="1" applyAlignment="1">
      <alignment vertical="top" wrapText="1" shrinkToFit="1"/>
    </xf>
    <xf numFmtId="0" fontId="23" fillId="31" borderId="1" xfId="5" applyFont="1" applyFill="1"/>
    <xf numFmtId="49" fontId="23" fillId="31" borderId="1" xfId="5" applyNumberFormat="1" applyFont="1" applyFill="1"/>
    <xf numFmtId="0" fontId="23" fillId="32" borderId="1" xfId="5" applyFont="1" applyFill="1"/>
    <xf numFmtId="49" fontId="24" fillId="32" borderId="1" xfId="5" applyNumberFormat="1" applyFont="1" applyFill="1"/>
    <xf numFmtId="0" fontId="23" fillId="33" borderId="1" xfId="5" applyFont="1" applyFill="1"/>
    <xf numFmtId="49" fontId="23" fillId="33" borderId="1" xfId="5" applyNumberFormat="1" applyFont="1" applyFill="1"/>
    <xf numFmtId="0" fontId="29" fillId="0" borderId="1" xfId="1" applyFont="1" applyAlignment="1">
      <alignment vertical="center"/>
    </xf>
    <xf numFmtId="0" fontId="16" fillId="8" borderId="15" xfId="3" applyFont="1" applyFill="1" applyBorder="1" applyAlignment="1">
      <alignment horizontal="center" vertical="center" wrapText="1"/>
    </xf>
    <xf numFmtId="0" fontId="16" fillId="8" borderId="15" xfId="1" applyFont="1" applyFill="1" applyBorder="1" applyAlignment="1">
      <alignment horizontal="center" vertical="center" wrapText="1"/>
    </xf>
    <xf numFmtId="0" fontId="16" fillId="0" borderId="23" xfId="3" applyFont="1" applyBorder="1" applyAlignment="1">
      <alignment horizontal="center" vertical="center" wrapText="1"/>
    </xf>
    <xf numFmtId="0" fontId="16" fillId="8" borderId="23" xfId="1" applyFont="1" applyFill="1" applyBorder="1" applyAlignment="1">
      <alignment horizontal="center" vertical="center" wrapText="1"/>
    </xf>
    <xf numFmtId="0" fontId="16" fillId="0" borderId="15" xfId="1" applyFont="1" applyBorder="1" applyAlignment="1">
      <alignment horizontal="center" vertical="center" wrapText="1"/>
    </xf>
    <xf numFmtId="0" fontId="15" fillId="9" borderId="15" xfId="1" applyFont="1" applyFill="1" applyBorder="1" applyAlignment="1">
      <alignment horizontal="center" vertical="center" wrapText="1"/>
    </xf>
    <xf numFmtId="0" fontId="16" fillId="9" borderId="15" xfId="1" applyFont="1" applyFill="1" applyBorder="1" applyAlignment="1">
      <alignment horizontal="center" vertical="center" wrapText="1"/>
    </xf>
    <xf numFmtId="0" fontId="16" fillId="8" borderId="24" xfId="1" applyFont="1" applyFill="1" applyBorder="1" applyAlignment="1">
      <alignment horizontal="center" vertical="center" wrapText="1"/>
    </xf>
    <xf numFmtId="1" fontId="16" fillId="8" borderId="23" xfId="1" applyNumberFormat="1" applyFont="1" applyFill="1" applyBorder="1" applyAlignment="1">
      <alignment horizontal="center" vertical="center" wrapText="1"/>
    </xf>
    <xf numFmtId="1" fontId="16" fillId="8" borderId="21" xfId="1" applyNumberFormat="1" applyFont="1" applyFill="1" applyBorder="1" applyAlignment="1">
      <alignment horizontal="center" vertical="center" wrapText="1"/>
    </xf>
    <xf numFmtId="0" fontId="16" fillId="8" borderId="23" xfId="3" applyFont="1" applyFill="1" applyBorder="1" applyAlignment="1">
      <alignment horizontal="center" vertical="center" wrapText="1"/>
    </xf>
    <xf numFmtId="0" fontId="16" fillId="0" borderId="15" xfId="3" applyFont="1" applyBorder="1" applyAlignment="1">
      <alignment horizontal="center" vertical="center" wrapText="1"/>
    </xf>
    <xf numFmtId="1" fontId="16" fillId="8" borderId="15" xfId="1" applyNumberFormat="1" applyFont="1" applyFill="1" applyBorder="1" applyAlignment="1">
      <alignment horizontal="center" vertical="center" wrapText="1"/>
    </xf>
    <xf numFmtId="9" fontId="16" fillId="8" borderId="15" xfId="1" applyNumberFormat="1" applyFont="1" applyFill="1" applyBorder="1" applyAlignment="1">
      <alignment horizontal="center" vertical="center" wrapText="1"/>
    </xf>
    <xf numFmtId="164" fontId="15" fillId="9" borderId="15" xfId="7" applyNumberFormat="1" applyFont="1" applyFill="1" applyBorder="1" applyAlignment="1">
      <alignment horizontal="center" vertical="center" wrapText="1"/>
    </xf>
    <xf numFmtId="0" fontId="15" fillId="9" borderId="23" xfId="1" applyFont="1" applyFill="1" applyBorder="1" applyAlignment="1">
      <alignment horizontal="center" vertical="center" wrapText="1"/>
    </xf>
    <xf numFmtId="0" fontId="15" fillId="9" borderId="21" xfId="1" applyFont="1" applyFill="1" applyBorder="1" applyAlignment="1">
      <alignment horizontal="center" vertical="center" wrapText="1"/>
    </xf>
    <xf numFmtId="2" fontId="16" fillId="8" borderId="23" xfId="1" applyNumberFormat="1" applyFont="1" applyFill="1" applyBorder="1" applyAlignment="1">
      <alignment horizontal="center" vertical="center" wrapText="1"/>
    </xf>
    <xf numFmtId="2" fontId="16" fillId="8" borderId="21" xfId="1" applyNumberFormat="1" applyFont="1" applyFill="1" applyBorder="1" applyAlignment="1">
      <alignment horizontal="center" vertical="center" wrapText="1"/>
    </xf>
    <xf numFmtId="165" fontId="16" fillId="8" borderId="15" xfId="3" applyNumberFormat="1" applyFont="1" applyFill="1" applyBorder="1" applyAlignment="1">
      <alignment horizontal="center" vertical="center" wrapText="1"/>
    </xf>
    <xf numFmtId="0" fontId="16" fillId="0" borderId="24" xfId="3" applyFont="1" applyBorder="1" applyAlignment="1">
      <alignment horizontal="center" vertical="center" wrapText="1"/>
    </xf>
    <xf numFmtId="1" fontId="16" fillId="0" borderId="23" xfId="3" applyNumberFormat="1" applyFont="1" applyBorder="1" applyAlignment="1">
      <alignment horizontal="center" vertical="center" wrapText="1"/>
    </xf>
    <xf numFmtId="0" fontId="25" fillId="8" borderId="19" xfId="1" applyFont="1" applyFill="1" applyBorder="1" applyAlignment="1">
      <alignment horizontal="left" vertical="center" wrapText="1" shrinkToFit="1"/>
    </xf>
    <xf numFmtId="0" fontId="8" fillId="8" borderId="15" xfId="0" applyFont="1" applyFill="1" applyBorder="1" applyAlignment="1">
      <alignment horizontal="center" vertical="center" wrapText="1"/>
    </xf>
    <xf numFmtId="2" fontId="16" fillId="8" borderId="23" xfId="7" applyNumberFormat="1" applyFont="1" applyFill="1" applyBorder="1" applyAlignment="1">
      <alignment vertical="center" wrapText="1"/>
    </xf>
    <xf numFmtId="1" fontId="16" fillId="8" borderId="23" xfId="7" applyNumberFormat="1" applyFont="1" applyFill="1" applyBorder="1" applyAlignment="1">
      <alignment vertical="center" wrapText="1"/>
    </xf>
    <xf numFmtId="1" fontId="16" fillId="8" borderId="24" xfId="7" applyNumberFormat="1" applyFont="1" applyFill="1" applyBorder="1" applyAlignment="1">
      <alignment vertical="center" wrapText="1"/>
    </xf>
    <xf numFmtId="2" fontId="29" fillId="14" borderId="11" xfId="1" applyNumberFormat="1" applyFont="1" applyFill="1" applyBorder="1" applyAlignment="1">
      <alignment vertical="center" wrapText="1"/>
    </xf>
    <xf numFmtId="2" fontId="29" fillId="0" borderId="1" xfId="1" applyNumberFormat="1" applyFont="1" applyAlignment="1">
      <alignment vertical="center" wrapText="1"/>
    </xf>
    <xf numFmtId="2" fontId="25" fillId="0" borderId="19" xfId="1" applyNumberFormat="1" applyFont="1" applyBorder="1" applyAlignment="1">
      <alignment vertical="center"/>
    </xf>
    <xf numFmtId="2" fontId="27" fillId="0" borderId="1" xfId="1" applyNumberFormat="1" applyFont="1" applyAlignment="1">
      <alignment horizontal="center" vertical="center" wrapText="1"/>
    </xf>
    <xf numFmtId="2" fontId="26" fillId="19" borderId="15" xfId="1" applyNumberFormat="1" applyFont="1" applyFill="1" applyBorder="1" applyAlignment="1">
      <alignment horizontal="center" vertical="center" wrapText="1"/>
    </xf>
    <xf numFmtId="2" fontId="16" fillId="0" borderId="15" xfId="4" applyNumberFormat="1" applyFont="1" applyBorder="1" applyAlignment="1">
      <alignment horizontal="center" vertical="center" wrapText="1"/>
    </xf>
    <xf numFmtId="2" fontId="16" fillId="0" borderId="15" xfId="1" applyNumberFormat="1" applyFont="1" applyBorder="1" applyAlignment="1">
      <alignment horizontal="center" vertical="center" wrapText="1"/>
    </xf>
    <xf numFmtId="2" fontId="16" fillId="8" borderId="23" xfId="1" applyNumberFormat="1" applyFont="1" applyFill="1" applyBorder="1" applyAlignment="1">
      <alignment vertical="center" wrapText="1"/>
    </xf>
    <xf numFmtId="2" fontId="16" fillId="8" borderId="15" xfId="3" applyNumberFormat="1" applyFont="1" applyFill="1" applyBorder="1" applyAlignment="1">
      <alignment horizontal="center" vertical="center" wrapText="1"/>
    </xf>
    <xf numFmtId="2" fontId="16" fillId="8" borderId="15" xfId="7" applyNumberFormat="1" applyFont="1" applyFill="1" applyBorder="1" applyAlignment="1">
      <alignment horizontal="center" vertical="center" wrapText="1"/>
    </xf>
    <xf numFmtId="2" fontId="16" fillId="8" borderId="15" xfId="4" applyNumberFormat="1" applyFont="1" applyFill="1" applyBorder="1" applyAlignment="1">
      <alignment horizontal="center" vertical="center" wrapText="1"/>
    </xf>
    <xf numFmtId="2" fontId="16" fillId="0" borderId="23" xfId="4" applyNumberFormat="1" applyFont="1" applyBorder="1" applyAlignment="1">
      <alignment horizontal="center" vertical="center" wrapText="1"/>
    </xf>
    <xf numFmtId="2" fontId="15" fillId="0" borderId="1" xfId="1" applyNumberFormat="1" applyFont="1" applyAlignment="1">
      <alignment vertical="center" wrapText="1"/>
    </xf>
    <xf numFmtId="1" fontId="26" fillId="19" borderId="15" xfId="1" applyNumberFormat="1" applyFont="1" applyFill="1" applyBorder="1" applyAlignment="1">
      <alignment horizontal="center" vertical="center" wrapText="1"/>
    </xf>
    <xf numFmtId="1" fontId="16" fillId="0" borderId="15" xfId="4" applyNumberFormat="1" applyFont="1" applyBorder="1" applyAlignment="1">
      <alignment horizontal="center" vertical="center" wrapText="1"/>
    </xf>
    <xf numFmtId="1" fontId="16" fillId="0" borderId="15" xfId="1" applyNumberFormat="1" applyFont="1" applyBorder="1" applyAlignment="1">
      <alignment horizontal="center" vertical="center" wrapText="1"/>
    </xf>
    <xf numFmtId="1" fontId="16" fillId="8" borderId="23" xfId="1" applyNumberFormat="1" applyFont="1" applyFill="1" applyBorder="1" applyAlignment="1">
      <alignment vertical="center" wrapText="1"/>
    </xf>
    <xf numFmtId="1" fontId="16" fillId="8" borderId="24" xfId="1" applyNumberFormat="1" applyFont="1" applyFill="1" applyBorder="1" applyAlignment="1">
      <alignment vertical="center" wrapText="1"/>
    </xf>
    <xf numFmtId="1" fontId="16" fillId="8" borderId="15" xfId="7" applyNumberFormat="1" applyFont="1" applyFill="1" applyBorder="1" applyAlignment="1">
      <alignment horizontal="center" vertical="center" wrapText="1"/>
    </xf>
    <xf numFmtId="1" fontId="16" fillId="8" borderId="15" xfId="4" applyNumberFormat="1" applyFont="1" applyFill="1" applyBorder="1" applyAlignment="1">
      <alignment horizontal="center" vertical="center" wrapText="1"/>
    </xf>
    <xf numFmtId="1" fontId="16" fillId="0" borderId="23" xfId="4" applyNumberFormat="1" applyFont="1" applyBorder="1" applyAlignment="1">
      <alignment horizontal="center" vertical="center" wrapText="1"/>
    </xf>
    <xf numFmtId="2" fontId="15" fillId="0" borderId="1" xfId="1" applyNumberFormat="1" applyFont="1" applyAlignment="1">
      <alignment horizontal="center" vertical="center" wrapText="1"/>
    </xf>
    <xf numFmtId="1" fontId="16" fillId="0" borderId="15" xfId="3" applyNumberFormat="1" applyFont="1" applyBorder="1" applyAlignment="1">
      <alignment horizontal="center" vertical="center" wrapText="1"/>
    </xf>
    <xf numFmtId="1" fontId="15" fillId="0" borderId="1" xfId="1" applyNumberFormat="1" applyFont="1" applyAlignment="1">
      <alignment horizontal="center" vertical="center" wrapText="1"/>
    </xf>
    <xf numFmtId="49" fontId="15" fillId="9" borderId="15" xfId="7" applyNumberFormat="1" applyFont="1" applyFill="1" applyBorder="1" applyAlignment="1">
      <alignment horizontal="center" vertical="center" wrapText="1"/>
    </xf>
    <xf numFmtId="2" fontId="16" fillId="9" borderId="15" xfId="1" applyNumberFormat="1" applyFont="1" applyFill="1" applyBorder="1" applyAlignment="1">
      <alignment horizontal="center" vertical="center" wrapText="1"/>
    </xf>
    <xf numFmtId="2" fontId="16" fillId="9" borderId="23" xfId="1" applyNumberFormat="1" applyFont="1" applyFill="1" applyBorder="1" applyAlignment="1">
      <alignment horizontal="center" vertical="center" wrapText="1"/>
    </xf>
    <xf numFmtId="2" fontId="16" fillId="9" borderId="21" xfId="1" applyNumberFormat="1" applyFont="1" applyFill="1" applyBorder="1" applyAlignment="1">
      <alignment horizontal="center" vertical="center" wrapText="1"/>
    </xf>
    <xf numFmtId="49" fontId="15" fillId="9" borderId="23" xfId="7" applyNumberFormat="1" applyFont="1" applyFill="1" applyBorder="1" applyAlignment="1">
      <alignment horizontal="center" vertical="center" wrapText="1"/>
    </xf>
    <xf numFmtId="49" fontId="15" fillId="9" borderId="21" xfId="7" applyNumberFormat="1" applyFont="1" applyFill="1" applyBorder="1" applyAlignment="1">
      <alignment horizontal="center" vertical="center" wrapText="1"/>
    </xf>
    <xf numFmtId="2" fontId="15" fillId="9" borderId="15" xfId="7" applyNumberFormat="1" applyFont="1" applyFill="1" applyBorder="1" applyAlignment="1">
      <alignment horizontal="center" vertical="center" wrapText="1"/>
    </xf>
    <xf numFmtId="1" fontId="15" fillId="9" borderId="15" xfId="7" applyNumberFormat="1" applyFont="1" applyFill="1" applyBorder="1" applyAlignment="1">
      <alignment horizontal="center" vertical="center" wrapText="1"/>
    </xf>
    <xf numFmtId="49" fontId="30" fillId="14" borderId="32" xfId="1" applyNumberFormat="1" applyFont="1" applyFill="1" applyBorder="1" applyAlignment="1">
      <alignment vertical="center"/>
    </xf>
    <xf numFmtId="49" fontId="29" fillId="0" borderId="1" xfId="1" applyNumberFormat="1" applyFont="1" applyBorder="1" applyAlignment="1">
      <alignment vertical="center"/>
    </xf>
    <xf numFmtId="1" fontId="16" fillId="0" borderId="1" xfId="1" applyNumberFormat="1" applyFont="1" applyAlignment="1">
      <alignment horizontal="center" vertical="center" wrapText="1" shrinkToFit="1"/>
    </xf>
    <xf numFmtId="1" fontId="16" fillId="0" borderId="29" xfId="1" applyNumberFormat="1" applyFont="1" applyBorder="1" applyAlignment="1">
      <alignment horizontal="center" vertical="center" wrapText="1" shrinkToFit="1"/>
    </xf>
    <xf numFmtId="0" fontId="16" fillId="22" borderId="15" xfId="1" applyFont="1" applyFill="1" applyBorder="1" applyAlignment="1">
      <alignment horizontal="left" vertical="top" wrapText="1" shrinkToFit="1"/>
    </xf>
    <xf numFmtId="9" fontId="16" fillId="22" borderId="15" xfId="4" applyFont="1" applyFill="1" applyBorder="1" applyAlignment="1">
      <alignment horizontal="left" vertical="top" wrapText="1" shrinkToFit="1"/>
    </xf>
    <xf numFmtId="1" fontId="16" fillId="0" borderId="15" xfId="1" applyNumberFormat="1" applyFont="1" applyBorder="1" applyAlignment="1">
      <alignment horizontal="left" vertical="top" wrapText="1" shrinkToFit="1"/>
    </xf>
    <xf numFmtId="1" fontId="16" fillId="8" borderId="15" xfId="1" applyNumberFormat="1" applyFont="1" applyFill="1" applyBorder="1" applyAlignment="1">
      <alignment horizontal="left" vertical="top" wrapText="1" shrinkToFit="1"/>
    </xf>
    <xf numFmtId="0" fontId="16" fillId="14" borderId="1" xfId="1" applyFont="1" applyFill="1" applyAlignment="1">
      <alignment horizontal="center"/>
    </xf>
    <xf numFmtId="0" fontId="16" fillId="14" borderId="32" xfId="1" applyFont="1" applyFill="1" applyBorder="1" applyAlignment="1">
      <alignment horizontal="center"/>
    </xf>
    <xf numFmtId="0" fontId="16" fillId="14" borderId="1" xfId="1" applyFont="1" applyFill="1" applyBorder="1" applyAlignment="1">
      <alignment horizontal="center"/>
    </xf>
    <xf numFmtId="0" fontId="35" fillId="0" borderId="15" xfId="12" applyFont="1" applyBorder="1" applyAlignment="1">
      <alignment horizontal="center" vertical="center" wrapText="1"/>
    </xf>
    <xf numFmtId="0" fontId="35" fillId="8" borderId="15" xfId="5" applyFont="1" applyFill="1" applyBorder="1" applyAlignment="1">
      <alignment horizontal="left" vertical="top" wrapText="1"/>
    </xf>
    <xf numFmtId="0" fontId="16" fillId="15" borderId="15" xfId="1" applyFont="1" applyFill="1" applyBorder="1" applyAlignment="1">
      <alignment vertical="center" wrapText="1" shrinkToFit="1"/>
    </xf>
    <xf numFmtId="0" fontId="16" fillId="8" borderId="15" xfId="1" applyFont="1" applyFill="1" applyBorder="1" applyAlignment="1">
      <alignment horizontal="left" vertical="top" wrapText="1" shrinkToFit="1"/>
    </xf>
    <xf numFmtId="0" fontId="16" fillId="0" borderId="15" xfId="1" applyFont="1" applyBorder="1" applyAlignment="1">
      <alignment vertical="center" wrapText="1" shrinkToFit="1"/>
    </xf>
    <xf numFmtId="0" fontId="35" fillId="12" borderId="15" xfId="5" applyFont="1" applyFill="1" applyBorder="1" applyAlignment="1">
      <alignment vertical="top" wrapText="1"/>
    </xf>
    <xf numFmtId="0" fontId="16" fillId="11" borderId="15" xfId="1" applyFont="1" applyFill="1" applyBorder="1" applyAlignment="1">
      <alignment vertical="center" wrapText="1" shrinkToFit="1"/>
    </xf>
    <xf numFmtId="0" fontId="35" fillId="8" borderId="15" xfId="5" applyFont="1" applyFill="1" applyBorder="1" applyAlignment="1">
      <alignment vertical="top" wrapText="1"/>
    </xf>
    <xf numFmtId="0" fontId="16" fillId="11" borderId="15" xfId="1" applyFont="1" applyFill="1" applyBorder="1" applyAlignment="1">
      <alignment horizontal="left" vertical="top" wrapText="1" shrinkToFit="1"/>
    </xf>
    <xf numFmtId="0" fontId="35" fillId="0" borderId="15" xfId="5" applyFont="1" applyBorder="1" applyAlignment="1">
      <alignment vertical="top" wrapText="1"/>
    </xf>
    <xf numFmtId="0" fontId="34" fillId="12" borderId="15" xfId="12" applyFont="1" applyFill="1" applyBorder="1" applyAlignment="1">
      <alignment vertical="center" wrapText="1"/>
    </xf>
    <xf numFmtId="0" fontId="16" fillId="15" borderId="15" xfId="1" applyFont="1" applyFill="1" applyBorder="1" applyAlignment="1">
      <alignment horizontal="left" vertical="top" wrapText="1" shrinkToFit="1"/>
    </xf>
    <xf numFmtId="0" fontId="20" fillId="21" borderId="15" xfId="5" applyFont="1" applyFill="1" applyBorder="1" applyAlignment="1">
      <alignment vertical="top" wrapText="1"/>
    </xf>
    <xf numFmtId="0" fontId="16" fillId="15" borderId="15" xfId="12" applyFont="1" applyFill="1" applyBorder="1" applyAlignment="1">
      <alignment vertical="center" wrapText="1"/>
    </xf>
    <xf numFmtId="0" fontId="16" fillId="0" borderId="15" xfId="5" applyFont="1" applyBorder="1"/>
    <xf numFmtId="0" fontId="20" fillId="8" borderId="15" xfId="11" applyFont="1" applyFill="1" applyBorder="1" applyAlignment="1">
      <alignment horizontal="left" vertical="center" wrapText="1"/>
    </xf>
    <xf numFmtId="0" fontId="35" fillId="8" borderId="15" xfId="11" applyFont="1" applyFill="1" applyBorder="1" applyAlignment="1">
      <alignment horizontal="left" vertical="center" wrapText="1"/>
    </xf>
    <xf numFmtId="1" fontId="16" fillId="32" borderId="15" xfId="1" applyNumberFormat="1" applyFont="1" applyFill="1" applyBorder="1" applyAlignment="1">
      <alignment horizontal="left" vertical="top" wrapText="1" shrinkToFit="1"/>
    </xf>
    <xf numFmtId="0" fontId="20" fillId="32" borderId="15" xfId="10" applyFont="1" applyFill="1" applyBorder="1" applyAlignment="1">
      <alignment horizontal="center" vertical="center" wrapText="1"/>
    </xf>
    <xf numFmtId="0" fontId="20" fillId="32" borderId="15" xfId="11" applyFont="1" applyFill="1" applyBorder="1" applyAlignment="1">
      <alignment horizontal="center" vertical="center" wrapText="1"/>
    </xf>
    <xf numFmtId="0" fontId="25" fillId="0" borderId="19" xfId="1" applyFont="1" applyBorder="1" applyAlignment="1">
      <alignment vertical="top"/>
    </xf>
    <xf numFmtId="2" fontId="17" fillId="0" borderId="1" xfId="5" applyNumberFormat="1"/>
    <xf numFmtId="2" fontId="41" fillId="8" borderId="1" xfId="5" applyNumberFormat="1" applyFont="1" applyFill="1" applyAlignment="1">
      <alignment horizontal="center"/>
    </xf>
    <xf numFmtId="1" fontId="37" fillId="3" borderId="3" xfId="5" applyNumberFormat="1" applyFont="1" applyFill="1" applyBorder="1" applyAlignment="1">
      <alignment horizontal="center" vertical="center" wrapText="1"/>
    </xf>
    <xf numFmtId="1" fontId="37" fillId="3" borderId="2" xfId="5" applyNumberFormat="1" applyFont="1" applyFill="1" applyBorder="1" applyAlignment="1">
      <alignment horizontal="center" vertical="center" wrapText="1"/>
    </xf>
    <xf numFmtId="1" fontId="37" fillId="24" borderId="2" xfId="5" applyNumberFormat="1" applyFont="1" applyFill="1" applyBorder="1" applyAlignment="1">
      <alignment horizontal="center" vertical="center" wrapText="1"/>
    </xf>
    <xf numFmtId="1" fontId="37" fillId="3" borderId="9" xfId="5" applyNumberFormat="1" applyFont="1" applyFill="1" applyBorder="1" applyAlignment="1">
      <alignment horizontal="center" vertical="center" wrapText="1"/>
    </xf>
    <xf numFmtId="1" fontId="37" fillId="3" borderId="5" xfId="5" applyNumberFormat="1" applyFont="1" applyFill="1" applyBorder="1" applyAlignment="1">
      <alignment horizontal="center" vertical="center" wrapText="1"/>
    </xf>
    <xf numFmtId="0" fontId="25" fillId="0" borderId="1" xfId="1" applyFont="1" applyBorder="1" applyAlignment="1">
      <alignment vertical="center"/>
    </xf>
    <xf numFmtId="0" fontId="25" fillId="0" borderId="1" xfId="1" applyFont="1" applyBorder="1" applyAlignment="1">
      <alignment horizontal="left" vertical="center"/>
    </xf>
    <xf numFmtId="0" fontId="23" fillId="13" borderId="1" xfId="1" applyFont="1" applyFill="1" applyBorder="1" applyAlignment="1">
      <alignment horizontal="center" vertical="center" wrapText="1"/>
    </xf>
    <xf numFmtId="0" fontId="37" fillId="3" borderId="1" xfId="5" applyFont="1" applyFill="1" applyBorder="1" applyAlignment="1">
      <alignment horizontal="center" vertical="center" wrapText="1"/>
    </xf>
    <xf numFmtId="0" fontId="37" fillId="24" borderId="1" xfId="5" applyFont="1" applyFill="1" applyBorder="1" applyAlignment="1">
      <alignment horizontal="center" vertical="center" wrapText="1"/>
    </xf>
    <xf numFmtId="0" fontId="38" fillId="3" borderId="1" xfId="5" applyFont="1" applyFill="1" applyBorder="1" applyAlignment="1">
      <alignment horizontal="center" vertical="center" wrapText="1"/>
    </xf>
    <xf numFmtId="0" fontId="16" fillId="0" borderId="15" xfId="1" applyFont="1" applyBorder="1" applyAlignment="1">
      <alignment horizontal="left" vertical="top" wrapText="1"/>
    </xf>
    <xf numFmtId="0" fontId="43" fillId="14" borderId="15" xfId="13" applyFont="1" applyFill="1" applyBorder="1" applyAlignment="1">
      <alignment horizontal="center" wrapText="1"/>
    </xf>
    <xf numFmtId="0" fontId="44" fillId="14" borderId="15" xfId="13" applyFont="1" applyFill="1" applyBorder="1" applyAlignment="1">
      <alignment horizontal="center" wrapText="1"/>
    </xf>
    <xf numFmtId="0" fontId="20" fillId="0" borderId="15" xfId="0" applyFont="1" applyBorder="1" applyAlignment="1">
      <alignment horizontal="left" vertical="top" wrapText="1"/>
    </xf>
    <xf numFmtId="0" fontId="20" fillId="12" borderId="15" xfId="5" applyFont="1" applyFill="1" applyBorder="1" applyAlignment="1">
      <alignment horizontal="left" vertical="top" wrapText="1"/>
    </xf>
    <xf numFmtId="0" fontId="20" fillId="12" borderId="15" xfId="0" applyFont="1" applyFill="1" applyBorder="1" applyAlignment="1">
      <alignment vertical="top" wrapText="1"/>
    </xf>
    <xf numFmtId="0" fontId="16" fillId="12" borderId="15" xfId="0" applyFont="1" applyFill="1" applyBorder="1" applyAlignment="1">
      <alignment horizontal="left" vertical="top" wrapText="1"/>
    </xf>
    <xf numFmtId="0" fontId="16" fillId="12" borderId="15" xfId="0" applyFont="1" applyFill="1" applyBorder="1" applyAlignment="1">
      <alignment vertical="top" wrapText="1"/>
    </xf>
    <xf numFmtId="0" fontId="35" fillId="12" borderId="15" xfId="0" applyFont="1" applyFill="1" applyBorder="1" applyAlignment="1">
      <alignment vertical="top" wrapText="1"/>
    </xf>
    <xf numFmtId="0" fontId="16" fillId="8" borderId="15" xfId="0" applyFont="1" applyFill="1" applyBorder="1" applyAlignment="1">
      <alignment vertical="top" wrapText="1"/>
    </xf>
    <xf numFmtId="0" fontId="20" fillId="8" borderId="15" xfId="0" applyFont="1" applyFill="1" applyBorder="1" applyAlignment="1">
      <alignment vertical="top" wrapText="1"/>
    </xf>
    <xf numFmtId="0" fontId="35" fillId="12" borderId="15" xfId="0" applyFont="1" applyFill="1" applyBorder="1" applyAlignment="1">
      <alignment horizontal="left" vertical="top" wrapText="1"/>
    </xf>
    <xf numFmtId="0" fontId="20" fillId="0" borderId="15" xfId="1" applyFont="1" applyBorder="1" applyAlignment="1">
      <alignment horizontal="left" vertical="top" wrapText="1"/>
    </xf>
    <xf numFmtId="0" fontId="20" fillId="8" borderId="15" xfId="0" applyFont="1" applyFill="1" applyBorder="1" applyAlignment="1">
      <alignment horizontal="left" vertical="top" wrapText="1"/>
    </xf>
    <xf numFmtId="0" fontId="16" fillId="8" borderId="15" xfId="1" applyFont="1" applyFill="1" applyBorder="1" applyAlignment="1">
      <alignment horizontal="left" vertical="top" wrapText="1"/>
    </xf>
    <xf numFmtId="0" fontId="20" fillId="8" borderId="15" xfId="1" applyFont="1" applyFill="1" applyBorder="1" applyAlignment="1">
      <alignment horizontal="left" vertical="top" wrapText="1"/>
    </xf>
    <xf numFmtId="0" fontId="16" fillId="8" borderId="15" xfId="0" applyFont="1" applyFill="1" applyBorder="1" applyAlignment="1">
      <alignment horizontal="left" vertical="top" wrapText="1"/>
    </xf>
    <xf numFmtId="0" fontId="35" fillId="8" borderId="15" xfId="0" applyFont="1" applyFill="1" applyBorder="1" applyAlignment="1">
      <alignment vertical="top" wrapText="1"/>
    </xf>
    <xf numFmtId="44" fontId="20" fillId="0" borderId="15" xfId="14" applyFont="1" applyFill="1" applyBorder="1" applyAlignment="1">
      <alignment horizontal="left" vertical="top" wrapText="1"/>
    </xf>
    <xf numFmtId="0" fontId="20" fillId="12" borderId="15" xfId="0" applyFont="1" applyFill="1" applyBorder="1" applyAlignment="1">
      <alignment horizontal="left" vertical="top" wrapText="1"/>
    </xf>
    <xf numFmtId="0" fontId="35" fillId="8" borderId="15" xfId="0" applyFont="1" applyFill="1" applyBorder="1" applyAlignment="1">
      <alignment horizontal="left" vertical="top" wrapText="1"/>
    </xf>
    <xf numFmtId="0" fontId="0" fillId="0" borderId="15" xfId="0" applyBorder="1" applyAlignment="1">
      <alignment horizontal="left" vertical="top" wrapText="1"/>
    </xf>
    <xf numFmtId="0" fontId="16" fillId="0" borderId="15" xfId="0" applyFont="1" applyBorder="1" applyAlignment="1">
      <alignment horizontal="left" vertical="top" wrapText="1"/>
    </xf>
    <xf numFmtId="0" fontId="20" fillId="8" borderId="1" xfId="5" applyFont="1" applyFill="1" applyBorder="1" applyAlignment="1">
      <alignment horizontal="left" vertical="top" wrapText="1"/>
    </xf>
    <xf numFmtId="0" fontId="20" fillId="33" borderId="15" xfId="5" applyFont="1" applyFill="1" applyBorder="1" applyAlignment="1">
      <alignment horizontal="left" vertical="top" wrapText="1"/>
    </xf>
    <xf numFmtId="0" fontId="20" fillId="33" borderId="15" xfId="0" applyFont="1" applyFill="1" applyBorder="1" applyAlignment="1">
      <alignment horizontal="left" vertical="top" wrapText="1"/>
    </xf>
    <xf numFmtId="0" fontId="15" fillId="33" borderId="15" xfId="1" applyFont="1" applyFill="1" applyBorder="1" applyAlignment="1">
      <alignment vertical="top" wrapText="1"/>
    </xf>
    <xf numFmtId="0" fontId="0" fillId="0" borderId="0" xfId="0"/>
    <xf numFmtId="165" fontId="6" fillId="8" borderId="2" xfId="0" applyNumberFormat="1" applyFont="1" applyFill="1" applyBorder="1" applyAlignment="1">
      <alignment horizontal="center" vertical="center" wrapText="1"/>
    </xf>
    <xf numFmtId="0" fontId="0" fillId="0" borderId="0" xfId="0" applyFont="1" applyAlignment="1">
      <alignment vertical="top"/>
    </xf>
    <xf numFmtId="0" fontId="7" fillId="39" borderId="5" xfId="0" applyFont="1" applyFill="1" applyBorder="1" applyAlignment="1">
      <alignment horizontal="center" vertical="center" wrapText="1"/>
    </xf>
    <xf numFmtId="0" fontId="7" fillId="39" borderId="10" xfId="0" applyFont="1" applyFill="1" applyBorder="1" applyAlignment="1">
      <alignment horizontal="center" vertical="center" wrapText="1"/>
    </xf>
    <xf numFmtId="0" fontId="6" fillId="8" borderId="3" xfId="0" applyFont="1" applyFill="1" applyBorder="1" applyAlignment="1">
      <alignment horizontal="center" vertical="center" wrapText="1"/>
    </xf>
    <xf numFmtId="0" fontId="6" fillId="8" borderId="6"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47" fillId="0" borderId="15" xfId="0" applyFont="1" applyFill="1" applyBorder="1" applyAlignment="1">
      <alignment horizontal="center" vertical="center" wrapText="1"/>
    </xf>
    <xf numFmtId="0" fontId="47" fillId="17" borderId="15" xfId="0" applyFont="1" applyFill="1" applyBorder="1" applyAlignment="1">
      <alignment horizontal="center" vertical="center" wrapText="1"/>
    </xf>
    <xf numFmtId="2" fontId="47" fillId="0" borderId="15" xfId="0" applyNumberFormat="1" applyFont="1" applyFill="1" applyBorder="1" applyAlignment="1">
      <alignment horizontal="center" vertical="center" wrapText="1"/>
    </xf>
    <xf numFmtId="165" fontId="47" fillId="0" borderId="15" xfId="0" applyNumberFormat="1" applyFont="1" applyFill="1" applyBorder="1" applyAlignment="1">
      <alignment horizontal="center" vertical="center" wrapText="1"/>
    </xf>
    <xf numFmtId="0" fontId="8" fillId="8" borderId="15" xfId="0" applyFont="1" applyFill="1" applyBorder="1" applyAlignment="1">
      <alignment horizontal="center" vertical="center" wrapText="1"/>
    </xf>
    <xf numFmtId="0" fontId="6" fillId="8" borderId="15" xfId="0" applyFont="1" applyFill="1" applyBorder="1" applyAlignment="1">
      <alignment horizontal="center" vertical="center" wrapText="1"/>
    </xf>
    <xf numFmtId="164" fontId="6" fillId="8" borderId="2" xfId="0" applyNumberFormat="1" applyFont="1" applyFill="1" applyBorder="1" applyAlignment="1">
      <alignment horizontal="center" vertical="center" wrapText="1"/>
    </xf>
    <xf numFmtId="9" fontId="6" fillId="8" borderId="6" xfId="0" applyNumberFormat="1"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8" fillId="0" borderId="2" xfId="0" applyFont="1" applyFill="1" applyBorder="1" applyAlignment="1">
      <alignment horizontal="center" vertical="center" wrapText="1"/>
    </xf>
    <xf numFmtId="165" fontId="6" fillId="0" borderId="2" xfId="0" applyNumberFormat="1" applyFont="1" applyFill="1" applyBorder="1" applyAlignment="1">
      <alignment horizontal="center" vertical="center" wrapText="1"/>
    </xf>
    <xf numFmtId="9" fontId="6" fillId="0" borderId="6" xfId="0" applyNumberFormat="1" applyFont="1" applyFill="1" applyBorder="1" applyAlignment="1">
      <alignment horizontal="center" vertical="center" wrapText="1"/>
    </xf>
    <xf numFmtId="0" fontId="47" fillId="0" borderId="15" xfId="0" applyFont="1" applyFill="1" applyBorder="1" applyAlignment="1">
      <alignment horizontal="center" vertical="center" wrapText="1"/>
    </xf>
    <xf numFmtId="0" fontId="6" fillId="8" borderId="15"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47" fillId="0" borderId="15" xfId="0" applyFont="1" applyFill="1" applyBorder="1" applyAlignment="1">
      <alignment horizontal="center" vertical="center" wrapText="1"/>
    </xf>
    <xf numFmtId="0" fontId="47" fillId="8" borderId="2"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47" fillId="0" borderId="15" xfId="0" applyFont="1" applyFill="1" applyBorder="1" applyAlignment="1">
      <alignment horizontal="center" vertical="center" wrapText="1"/>
    </xf>
    <xf numFmtId="0" fontId="47" fillId="8" borderId="15"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47" fillId="0" borderId="15"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47" fillId="0" borderId="15" xfId="0" applyFont="1" applyFill="1" applyBorder="1" applyAlignment="1">
      <alignment horizontal="center" vertical="center" wrapText="1"/>
    </xf>
    <xf numFmtId="0" fontId="49" fillId="39" borderId="5" xfId="0" applyFont="1" applyFill="1" applyBorder="1" applyAlignment="1">
      <alignment horizontal="center" vertical="center" wrapText="1"/>
    </xf>
    <xf numFmtId="0" fontId="49" fillId="39" borderId="10" xfId="0" applyFont="1" applyFill="1" applyBorder="1" applyAlignment="1">
      <alignment horizontal="center" vertical="center" wrapText="1"/>
    </xf>
    <xf numFmtId="0" fontId="17" fillId="8" borderId="15" xfId="0" applyFont="1" applyFill="1" applyBorder="1" applyAlignment="1">
      <alignment horizontal="center" vertical="center" wrapText="1"/>
    </xf>
    <xf numFmtId="0" fontId="47" fillId="0" borderId="15" xfId="0" applyFont="1" applyFill="1" applyBorder="1" applyAlignment="1">
      <alignment horizontal="center" vertical="center" wrapText="1"/>
    </xf>
    <xf numFmtId="0" fontId="6" fillId="32" borderId="2" xfId="0" applyFont="1" applyFill="1" applyBorder="1" applyAlignment="1">
      <alignment horizontal="center" vertical="center" wrapText="1"/>
    </xf>
    <xf numFmtId="0" fontId="47" fillId="0" borderId="15"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6" fillId="8" borderId="15" xfId="0" applyFont="1" applyFill="1" applyBorder="1" applyAlignment="1">
      <alignment horizontal="center" vertical="center" wrapText="1"/>
    </xf>
    <xf numFmtId="0" fontId="6" fillId="8" borderId="18" xfId="0" applyFont="1" applyFill="1" applyBorder="1" applyAlignment="1">
      <alignment horizontal="center" vertical="center" wrapText="1"/>
    </xf>
    <xf numFmtId="0" fontId="54" fillId="36" borderId="16" xfId="0" applyFont="1" applyFill="1" applyBorder="1" applyAlignment="1">
      <alignment horizontal="left" vertical="center"/>
    </xf>
    <xf numFmtId="0" fontId="54" fillId="36" borderId="19" xfId="0" applyFont="1" applyFill="1" applyBorder="1" applyAlignment="1">
      <alignment horizontal="left" vertical="center"/>
    </xf>
    <xf numFmtId="0" fontId="54" fillId="36" borderId="19" xfId="0" applyFont="1" applyFill="1" applyBorder="1" applyAlignment="1">
      <alignment horizontal="left" vertical="top"/>
    </xf>
    <xf numFmtId="0" fontId="54" fillId="37" borderId="38" xfId="0" applyFont="1" applyFill="1" applyBorder="1"/>
    <xf numFmtId="0" fontId="54" fillId="37" borderId="19" xfId="0" applyFont="1" applyFill="1" applyBorder="1"/>
    <xf numFmtId="0" fontId="54" fillId="37" borderId="1" xfId="0" applyFont="1" applyFill="1" applyBorder="1"/>
    <xf numFmtId="0" fontId="54" fillId="34" borderId="22" xfId="0" applyFont="1" applyFill="1" applyBorder="1"/>
    <xf numFmtId="0" fontId="54" fillId="34" borderId="38" xfId="0" applyFont="1" applyFill="1" applyBorder="1"/>
    <xf numFmtId="0" fontId="54" fillId="35" borderId="22" xfId="0" applyFont="1" applyFill="1" applyBorder="1"/>
    <xf numFmtId="0" fontId="54" fillId="35" borderId="38" xfId="0" applyFont="1" applyFill="1" applyBorder="1"/>
    <xf numFmtId="0" fontId="54" fillId="41" borderId="16" xfId="0" applyFont="1" applyFill="1" applyBorder="1"/>
    <xf numFmtId="0" fontId="54" fillId="41" borderId="19" xfId="0" applyFont="1" applyFill="1" applyBorder="1"/>
    <xf numFmtId="0" fontId="55" fillId="0" borderId="0" xfId="0" applyFont="1"/>
    <xf numFmtId="0" fontId="54" fillId="38" borderId="43" xfId="0" applyFont="1" applyFill="1" applyBorder="1"/>
    <xf numFmtId="0" fontId="54" fillId="38" borderId="1" xfId="0" applyFont="1" applyFill="1" applyBorder="1"/>
    <xf numFmtId="0" fontId="54" fillId="38" borderId="1" xfId="0" applyFont="1" applyFill="1" applyBorder="1" applyAlignment="1">
      <alignment vertical="top"/>
    </xf>
    <xf numFmtId="0" fontId="54" fillId="42" borderId="43" xfId="0" applyFont="1" applyFill="1" applyBorder="1"/>
    <xf numFmtId="0" fontId="54" fillId="42" borderId="1" xfId="0" applyFont="1" applyFill="1" applyBorder="1"/>
    <xf numFmtId="0" fontId="54" fillId="43" borderId="23" xfId="0" applyFont="1" applyFill="1" applyBorder="1"/>
    <xf numFmtId="0" fontId="54" fillId="44" borderId="38" xfId="0" applyFont="1" applyFill="1" applyBorder="1"/>
    <xf numFmtId="0" fontId="54" fillId="44" borderId="1" xfId="0" applyFont="1" applyFill="1" applyBorder="1"/>
    <xf numFmtId="0" fontId="54" fillId="45" borderId="22" xfId="0" applyFont="1" applyFill="1" applyBorder="1"/>
    <xf numFmtId="0" fontId="54" fillId="45" borderId="38" xfId="0" applyFont="1" applyFill="1" applyBorder="1"/>
    <xf numFmtId="0" fontId="54" fillId="46" borderId="22" xfId="0" applyFont="1" applyFill="1" applyBorder="1"/>
    <xf numFmtId="0" fontId="54" fillId="46" borderId="38" xfId="0" applyFont="1" applyFill="1" applyBorder="1"/>
    <xf numFmtId="0" fontId="54" fillId="47" borderId="22" xfId="0" applyFont="1" applyFill="1" applyBorder="1"/>
    <xf numFmtId="0" fontId="54" fillId="47" borderId="38" xfId="0" applyFont="1" applyFill="1" applyBorder="1"/>
    <xf numFmtId="0" fontId="54" fillId="48" borderId="22" xfId="0" applyFont="1" applyFill="1" applyBorder="1"/>
    <xf numFmtId="0" fontId="54" fillId="48" borderId="38" xfId="0" applyFont="1" applyFill="1" applyBorder="1"/>
    <xf numFmtId="0" fontId="54" fillId="49" borderId="22" xfId="0" applyFont="1" applyFill="1" applyBorder="1"/>
    <xf numFmtId="0" fontId="54" fillId="50" borderId="38" xfId="0" applyFont="1" applyFill="1" applyBorder="1"/>
    <xf numFmtId="0" fontId="54" fillId="51" borderId="22" xfId="0" applyFont="1" applyFill="1" applyBorder="1"/>
    <xf numFmtId="0" fontId="54" fillId="51" borderId="38" xfId="0" applyFont="1" applyFill="1" applyBorder="1"/>
    <xf numFmtId="0" fontId="54" fillId="52" borderId="43" xfId="0" applyFont="1" applyFill="1" applyBorder="1"/>
    <xf numFmtId="0" fontId="54" fillId="52" borderId="1" xfId="0" applyFont="1" applyFill="1" applyBorder="1"/>
    <xf numFmtId="0" fontId="54" fillId="53" borderId="1" xfId="0" applyFont="1" applyFill="1" applyBorder="1"/>
    <xf numFmtId="0" fontId="54" fillId="54" borderId="38" xfId="0" applyFont="1" applyFill="1" applyBorder="1"/>
    <xf numFmtId="0" fontId="54" fillId="55" borderId="22" xfId="0" applyFont="1" applyFill="1" applyBorder="1"/>
    <xf numFmtId="0" fontId="54" fillId="55" borderId="38" xfId="0" applyFont="1" applyFill="1" applyBorder="1"/>
    <xf numFmtId="0" fontId="54" fillId="42" borderId="44" xfId="0" applyFont="1" applyFill="1" applyBorder="1" applyAlignment="1">
      <alignment horizontal="left" vertical="center"/>
    </xf>
    <xf numFmtId="0" fontId="54" fillId="42" borderId="42" xfId="0" applyFont="1" applyFill="1" applyBorder="1" applyAlignment="1">
      <alignment horizontal="left" vertical="center"/>
    </xf>
    <xf numFmtId="0" fontId="56" fillId="43" borderId="21" xfId="0" applyFont="1" applyFill="1" applyBorder="1" applyAlignment="1">
      <alignment vertical="top"/>
    </xf>
    <xf numFmtId="0" fontId="56" fillId="56" borderId="38" xfId="0" applyFont="1" applyFill="1" applyBorder="1" applyAlignment="1">
      <alignment vertical="top"/>
    </xf>
    <xf numFmtId="0" fontId="54" fillId="50" borderId="38" xfId="0" applyFont="1" applyFill="1" applyBorder="1" applyAlignment="1">
      <alignment vertical="top"/>
    </xf>
    <xf numFmtId="0" fontId="54" fillId="45" borderId="44" xfId="0" applyFont="1" applyFill="1" applyBorder="1"/>
    <xf numFmtId="0" fontId="54" fillId="45" borderId="42" xfId="0" applyFont="1" applyFill="1" applyBorder="1"/>
    <xf numFmtId="0" fontId="54" fillId="46" borderId="44" xfId="0" applyFont="1" applyFill="1" applyBorder="1"/>
    <xf numFmtId="0" fontId="54" fillId="46" borderId="42" xfId="0" applyFont="1" applyFill="1" applyBorder="1"/>
    <xf numFmtId="0" fontId="54" fillId="47" borderId="44" xfId="0" applyFont="1" applyFill="1" applyBorder="1"/>
    <xf numFmtId="0" fontId="54" fillId="47" borderId="42" xfId="0" applyFont="1" applyFill="1" applyBorder="1"/>
    <xf numFmtId="0" fontId="54" fillId="48" borderId="44" xfId="0" applyFont="1" applyFill="1" applyBorder="1"/>
    <xf numFmtId="0" fontId="54" fillId="48" borderId="42" xfId="0" applyFont="1" applyFill="1" applyBorder="1"/>
    <xf numFmtId="0" fontId="54" fillId="49" borderId="44" xfId="0" applyFont="1" applyFill="1" applyBorder="1"/>
    <xf numFmtId="0" fontId="54" fillId="50" borderId="42" xfId="0" applyFont="1" applyFill="1" applyBorder="1"/>
    <xf numFmtId="0" fontId="54" fillId="54" borderId="44" xfId="0" applyFont="1" applyFill="1" applyBorder="1"/>
    <xf numFmtId="0" fontId="54" fillId="54" borderId="42" xfId="0" applyFont="1" applyFill="1" applyBorder="1"/>
    <xf numFmtId="0" fontId="54" fillId="53" borderId="44" xfId="0" applyFont="1" applyFill="1" applyBorder="1"/>
    <xf numFmtId="0" fontId="54" fillId="53" borderId="42" xfId="0" applyFont="1" applyFill="1" applyBorder="1"/>
    <xf numFmtId="0" fontId="54" fillId="52" borderId="44" xfId="0" applyFont="1" applyFill="1" applyBorder="1"/>
    <xf numFmtId="0" fontId="54" fillId="52" borderId="42" xfId="0" applyFont="1" applyFill="1" applyBorder="1"/>
    <xf numFmtId="0" fontId="54" fillId="57" borderId="44" xfId="0" applyFont="1" applyFill="1" applyBorder="1"/>
    <xf numFmtId="0" fontId="54" fillId="57" borderId="42" xfId="0" applyFont="1" applyFill="1" applyBorder="1"/>
    <xf numFmtId="0" fontId="54" fillId="55" borderId="44" xfId="0" applyFont="1" applyFill="1" applyBorder="1"/>
    <xf numFmtId="0" fontId="54" fillId="55" borderId="42" xfId="0" applyFont="1" applyFill="1" applyBorder="1"/>
    <xf numFmtId="0" fontId="57" fillId="0" borderId="1" xfId="0" applyFont="1" applyBorder="1" applyAlignment="1">
      <alignment horizontal="center" vertical="center"/>
    </xf>
    <xf numFmtId="0" fontId="58" fillId="0" borderId="0" xfId="0" applyFont="1" applyAlignment="1">
      <alignment horizontal="center" vertical="center"/>
    </xf>
    <xf numFmtId="0" fontId="53" fillId="2" borderId="5" xfId="0" applyFont="1" applyFill="1" applyBorder="1" applyAlignment="1">
      <alignment horizontal="center" vertical="center" wrapText="1"/>
    </xf>
    <xf numFmtId="0" fontId="53" fillId="58" borderId="5" xfId="0" applyFont="1" applyFill="1" applyBorder="1" applyAlignment="1">
      <alignment horizontal="center" vertical="center" wrapText="1"/>
    </xf>
    <xf numFmtId="0" fontId="59" fillId="2" borderId="5" xfId="0" applyFont="1" applyFill="1" applyBorder="1" applyAlignment="1">
      <alignment horizontal="center" vertical="center" wrapText="1"/>
    </xf>
    <xf numFmtId="0" fontId="53" fillId="2" borderId="10" xfId="0" applyFont="1" applyFill="1" applyBorder="1" applyAlignment="1">
      <alignment horizontal="center" vertical="center" wrapText="1"/>
    </xf>
    <xf numFmtId="0" fontId="54" fillId="36" borderId="38" xfId="0" applyFont="1" applyFill="1" applyBorder="1" applyAlignment="1">
      <alignment horizontal="left" vertical="center"/>
    </xf>
    <xf numFmtId="0" fontId="6" fillId="8" borderId="15" xfId="0" applyFont="1" applyFill="1" applyBorder="1" applyAlignment="1">
      <alignment vertical="center" wrapText="1"/>
    </xf>
    <xf numFmtId="0" fontId="6" fillId="8" borderId="16" xfId="0" applyFont="1" applyFill="1" applyBorder="1" applyAlignment="1">
      <alignment horizontal="center" vertical="center" wrapText="1"/>
    </xf>
    <xf numFmtId="0" fontId="53" fillId="39" borderId="10" xfId="0" applyFont="1" applyFill="1" applyBorder="1" applyAlignment="1">
      <alignment horizontal="center" vertical="center" wrapText="1"/>
    </xf>
    <xf numFmtId="0" fontId="54" fillId="50" borderId="1" xfId="0" applyFont="1" applyFill="1" applyBorder="1" applyAlignment="1">
      <alignment vertical="top"/>
    </xf>
    <xf numFmtId="0" fontId="6" fillId="0" borderId="14" xfId="0" applyFont="1" applyFill="1" applyBorder="1" applyAlignment="1">
      <alignment horizontal="center" vertical="center" wrapText="1"/>
    </xf>
    <xf numFmtId="0" fontId="5" fillId="0" borderId="40" xfId="0" applyFont="1" applyFill="1" applyBorder="1"/>
    <xf numFmtId="0" fontId="5" fillId="0" borderId="41" xfId="0" applyFont="1" applyFill="1" applyBorder="1"/>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5" fillId="0" borderId="15" xfId="0" applyFont="1" applyFill="1" applyBorder="1"/>
    <xf numFmtId="0" fontId="6" fillId="0" borderId="7" xfId="0" applyFont="1" applyFill="1" applyBorder="1" applyAlignment="1">
      <alignment horizontal="center" vertical="center" wrapText="1"/>
    </xf>
    <xf numFmtId="0" fontId="5" fillId="0" borderId="8" xfId="0" applyFont="1" applyFill="1" applyBorder="1"/>
    <xf numFmtId="0" fontId="5" fillId="0" borderId="10" xfId="0" applyFont="1" applyFill="1" applyBorder="1"/>
    <xf numFmtId="0" fontId="5" fillId="0" borderId="4" xfId="0" applyFont="1" applyFill="1" applyBorder="1"/>
    <xf numFmtId="0" fontId="6" fillId="8" borderId="7" xfId="0" applyFont="1" applyFill="1" applyBorder="1" applyAlignment="1">
      <alignment horizontal="center" vertical="center" wrapText="1"/>
    </xf>
    <xf numFmtId="0" fontId="5" fillId="8" borderId="8" xfId="0" applyFont="1" applyFill="1" applyBorder="1"/>
    <xf numFmtId="0" fontId="5" fillId="8" borderId="10" xfId="0" applyFont="1" applyFill="1" applyBorder="1"/>
    <xf numFmtId="0" fontId="5" fillId="8" borderId="4" xfId="0" applyFont="1" applyFill="1" applyBorder="1"/>
    <xf numFmtId="0" fontId="8" fillId="0" borderId="40" xfId="0" applyFont="1" applyFill="1" applyBorder="1" applyAlignment="1">
      <alignment horizontal="center" vertical="center" wrapText="1"/>
    </xf>
    <xf numFmtId="0" fontId="8" fillId="0" borderId="41" xfId="0" applyFont="1" applyFill="1" applyBorder="1" applyAlignment="1">
      <alignment horizontal="center" vertical="center" wrapText="1"/>
    </xf>
    <xf numFmtId="0" fontId="47" fillId="0" borderId="15" xfId="0" applyFont="1" applyBorder="1" applyAlignment="1">
      <alignment horizontal="center" vertical="center" wrapText="1"/>
    </xf>
    <xf numFmtId="0" fontId="6" fillId="40" borderId="7" xfId="0" applyFont="1" applyFill="1" applyBorder="1" applyAlignment="1">
      <alignment horizontal="center" vertical="center" wrapText="1"/>
    </xf>
    <xf numFmtId="0" fontId="5" fillId="40" borderId="8" xfId="0" applyFont="1" applyFill="1" applyBorder="1" applyAlignment="1">
      <alignment vertical="center"/>
    </xf>
    <xf numFmtId="0" fontId="5" fillId="40" borderId="10" xfId="0" applyFont="1" applyFill="1" applyBorder="1" applyAlignment="1">
      <alignment vertical="center"/>
    </xf>
    <xf numFmtId="0" fontId="5" fillId="40" borderId="4" xfId="0" applyFont="1" applyFill="1" applyBorder="1" applyAlignment="1">
      <alignment vertical="center"/>
    </xf>
    <xf numFmtId="0" fontId="5" fillId="8" borderId="8" xfId="0" applyFont="1" applyFill="1" applyBorder="1" applyAlignment="1">
      <alignment vertical="center"/>
    </xf>
    <xf numFmtId="0" fontId="5" fillId="8" borderId="10" xfId="0" applyFont="1" applyFill="1" applyBorder="1" applyAlignment="1">
      <alignment vertical="center"/>
    </xf>
    <xf numFmtId="0" fontId="5" fillId="8" borderId="4" xfId="0" applyFont="1" applyFill="1" applyBorder="1" applyAlignment="1">
      <alignment vertical="center"/>
    </xf>
    <xf numFmtId="0" fontId="5" fillId="0" borderId="8" xfId="0" applyFont="1" applyFill="1" applyBorder="1" applyAlignment="1">
      <alignment vertical="center"/>
    </xf>
    <xf numFmtId="0" fontId="5" fillId="0" borderId="10" xfId="0" applyFont="1" applyFill="1" applyBorder="1" applyAlignment="1">
      <alignment vertical="center"/>
    </xf>
    <xf numFmtId="0" fontId="5" fillId="0" borderId="4" xfId="0" applyFont="1" applyFill="1" applyBorder="1" applyAlignment="1">
      <alignment vertical="center"/>
    </xf>
    <xf numFmtId="0" fontId="6" fillId="0" borderId="7" xfId="0" applyFont="1" applyFill="1" applyBorder="1" applyAlignment="1">
      <alignment horizontal="left" vertical="center" wrapText="1"/>
    </xf>
    <xf numFmtId="0" fontId="5" fillId="0" borderId="8" xfId="0" applyFont="1" applyFill="1" applyBorder="1" applyAlignment="1">
      <alignment horizontal="left"/>
    </xf>
    <xf numFmtId="0" fontId="5" fillId="0" borderId="10" xfId="0" applyFont="1" applyFill="1" applyBorder="1" applyAlignment="1">
      <alignment horizontal="left"/>
    </xf>
    <xf numFmtId="0" fontId="5" fillId="0" borderId="4" xfId="0" applyFont="1" applyFill="1" applyBorder="1" applyAlignment="1">
      <alignment horizontal="left"/>
    </xf>
    <xf numFmtId="0" fontId="51" fillId="0" borderId="7" xfId="19" applyFill="1" applyBorder="1" applyAlignment="1">
      <alignment horizontal="left" vertical="top"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5" xfId="0" applyFont="1" applyBorder="1" applyAlignment="1">
      <alignment horizontal="center" vertical="center" wrapText="1"/>
    </xf>
    <xf numFmtId="1" fontId="6" fillId="0" borderId="15" xfId="0" applyNumberFormat="1" applyFont="1" applyFill="1" applyBorder="1" applyAlignment="1">
      <alignment horizontal="center" vertical="center" wrapText="1"/>
    </xf>
    <xf numFmtId="1" fontId="5" fillId="0" borderId="15" xfId="0" applyNumberFormat="1" applyFont="1" applyFill="1" applyBorder="1"/>
    <xf numFmtId="1" fontId="6" fillId="8" borderId="15" xfId="0" applyNumberFormat="1" applyFont="1" applyFill="1" applyBorder="1" applyAlignment="1">
      <alignment horizontal="center" vertical="center" wrapText="1"/>
    </xf>
    <xf numFmtId="1" fontId="5" fillId="8" borderId="15" xfId="0" applyNumberFormat="1" applyFont="1" applyFill="1" applyBorder="1"/>
    <xf numFmtId="0" fontId="1" fillId="8" borderId="7" xfId="0" applyFont="1" applyFill="1" applyBorder="1" applyAlignment="1">
      <alignment horizontal="center" vertical="center" wrapText="1"/>
    </xf>
    <xf numFmtId="0" fontId="50" fillId="8" borderId="8" xfId="0" applyFont="1" applyFill="1" applyBorder="1"/>
    <xf numFmtId="0" fontId="50" fillId="8" borderId="10" xfId="0" applyFont="1" applyFill="1" applyBorder="1"/>
    <xf numFmtId="0" fontId="50" fillId="8" borderId="4" xfId="0" applyFont="1" applyFill="1" applyBorder="1"/>
    <xf numFmtId="0" fontId="6" fillId="8" borderId="14" xfId="0" applyFont="1" applyFill="1" applyBorder="1" applyAlignment="1">
      <alignment horizontal="center" vertical="center" wrapText="1"/>
    </xf>
    <xf numFmtId="0" fontId="5" fillId="8" borderId="40" xfId="0" applyFont="1" applyFill="1" applyBorder="1"/>
    <xf numFmtId="0" fontId="5" fillId="8" borderId="41" xfId="0" applyFont="1" applyFill="1" applyBorder="1"/>
    <xf numFmtId="0" fontId="50" fillId="0" borderId="10" xfId="0" applyFont="1" applyBorder="1"/>
    <xf numFmtId="0" fontId="50" fillId="0" borderId="5" xfId="0" applyFont="1" applyBorder="1"/>
    <xf numFmtId="0" fontId="47" fillId="0" borderId="15" xfId="0" applyFont="1" applyFill="1" applyBorder="1" applyAlignment="1">
      <alignment horizontal="center" vertical="center" wrapText="1"/>
    </xf>
    <xf numFmtId="0" fontId="8" fillId="8" borderId="40" xfId="0" applyFont="1" applyFill="1" applyBorder="1" applyAlignment="1">
      <alignment horizontal="center" vertical="center" wrapText="1"/>
    </xf>
    <xf numFmtId="0" fontId="8" fillId="8" borderId="41" xfId="0" applyFont="1" applyFill="1" applyBorder="1" applyAlignment="1">
      <alignment horizontal="center" vertical="center" wrapText="1"/>
    </xf>
    <xf numFmtId="0" fontId="6" fillId="8" borderId="15" xfId="0" applyFont="1" applyFill="1" applyBorder="1" applyAlignment="1">
      <alignment horizontal="center" vertical="center" wrapText="1"/>
    </xf>
    <xf numFmtId="0" fontId="5" fillId="8" borderId="15" xfId="0" applyFont="1" applyFill="1" applyBorder="1"/>
    <xf numFmtId="0" fontId="8" fillId="8" borderId="7" xfId="0" applyFont="1" applyFill="1" applyBorder="1" applyAlignment="1">
      <alignment horizontal="left" vertical="center" wrapText="1"/>
    </xf>
    <xf numFmtId="0" fontId="5" fillId="8" borderId="8" xfId="0" applyFont="1" applyFill="1" applyBorder="1" applyAlignment="1">
      <alignment horizontal="left" vertical="center"/>
    </xf>
    <xf numFmtId="0" fontId="5" fillId="8" borderId="10" xfId="0" applyFont="1" applyFill="1" applyBorder="1" applyAlignment="1">
      <alignment horizontal="left" vertical="center"/>
    </xf>
    <xf numFmtId="0" fontId="5" fillId="8" borderId="4" xfId="0" applyFont="1" applyFill="1" applyBorder="1" applyAlignment="1">
      <alignment horizontal="left" vertical="center"/>
    </xf>
    <xf numFmtId="0" fontId="47" fillId="0" borderId="7" xfId="0" applyFont="1" applyFill="1" applyBorder="1" applyAlignment="1">
      <alignment horizontal="center" vertical="center" wrapText="1"/>
    </xf>
    <xf numFmtId="0" fontId="6" fillId="8" borderId="9"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8" borderId="5" xfId="0" applyFont="1" applyFill="1" applyBorder="1" applyAlignment="1">
      <alignment horizontal="center" vertical="center" wrapText="1"/>
    </xf>
    <xf numFmtId="0" fontId="6" fillId="8" borderId="10" xfId="0" applyFont="1" applyFill="1" applyBorder="1" applyAlignment="1">
      <alignment horizontal="center" vertical="center" wrapText="1"/>
    </xf>
    <xf numFmtId="0" fontId="6" fillId="8" borderId="5" xfId="0" applyFont="1" applyFill="1" applyBorder="1" applyAlignment="1">
      <alignment horizontal="center" vertical="center" wrapText="1"/>
    </xf>
    <xf numFmtId="0" fontId="8" fillId="8" borderId="7" xfId="0" applyFont="1" applyFill="1" applyBorder="1" applyAlignment="1">
      <alignment horizontal="center" vertical="center" wrapText="1"/>
    </xf>
    <xf numFmtId="0" fontId="6" fillId="8" borderId="7" xfId="0" applyFont="1" applyFill="1" applyBorder="1" applyAlignment="1">
      <alignment horizontal="left" vertical="center" wrapText="1"/>
    </xf>
    <xf numFmtId="0" fontId="6" fillId="8" borderId="9" xfId="0" applyFont="1" applyFill="1" applyBorder="1" applyAlignment="1">
      <alignment horizontal="left" vertical="top" wrapText="1"/>
    </xf>
    <xf numFmtId="0" fontId="8" fillId="8" borderId="10" xfId="0" applyFont="1" applyFill="1" applyBorder="1" applyAlignment="1">
      <alignment horizontal="left" vertical="top" wrapText="1"/>
    </xf>
    <xf numFmtId="0" fontId="8" fillId="8" borderId="5" xfId="0" applyFont="1" applyFill="1" applyBorder="1" applyAlignment="1">
      <alignment horizontal="left" vertical="top" wrapText="1"/>
    </xf>
    <xf numFmtId="0" fontId="8" fillId="8" borderId="9" xfId="0" applyFont="1" applyFill="1" applyBorder="1" applyAlignment="1">
      <alignment horizontal="left" vertical="center" wrapText="1"/>
    </xf>
    <xf numFmtId="0" fontId="8" fillId="8" borderId="10" xfId="0" applyFont="1" applyFill="1" applyBorder="1" applyAlignment="1">
      <alignment horizontal="left" vertical="center" wrapText="1"/>
    </xf>
    <xf numFmtId="0" fontId="8" fillId="8" borderId="5" xfId="0" applyFont="1" applyFill="1" applyBorder="1" applyAlignment="1">
      <alignment horizontal="left" vertical="center" wrapText="1"/>
    </xf>
    <xf numFmtId="0" fontId="52" fillId="0" borderId="7" xfId="19" applyFont="1" applyFill="1" applyBorder="1" applyAlignment="1">
      <alignment horizontal="left" vertical="top" wrapText="1"/>
    </xf>
    <xf numFmtId="0" fontId="5" fillId="8" borderId="8" xfId="0" applyFont="1" applyFill="1" applyBorder="1" applyAlignment="1">
      <alignment horizontal="left"/>
    </xf>
    <xf numFmtId="0" fontId="5" fillId="8" borderId="10" xfId="0" applyFont="1" applyFill="1" applyBorder="1" applyAlignment="1">
      <alignment horizontal="left"/>
    </xf>
    <xf numFmtId="0" fontId="5" fillId="8" borderId="4" xfId="0" applyFont="1" applyFill="1" applyBorder="1" applyAlignment="1">
      <alignment horizontal="left"/>
    </xf>
    <xf numFmtId="3" fontId="6" fillId="0" borderId="15" xfId="0" applyNumberFormat="1" applyFont="1" applyFill="1" applyBorder="1" applyAlignment="1">
      <alignment horizontal="center" vertical="center" wrapText="1"/>
    </xf>
    <xf numFmtId="0" fontId="6" fillId="0" borderId="10" xfId="0" applyFont="1" applyFill="1" applyBorder="1" applyAlignment="1">
      <alignment horizontal="left" vertical="center" wrapText="1"/>
    </xf>
    <xf numFmtId="0" fontId="8" fillId="0" borderId="10" xfId="0" applyFont="1" applyFill="1" applyBorder="1" applyAlignment="1">
      <alignment horizontal="left" vertical="top" wrapText="1"/>
    </xf>
    <xf numFmtId="0" fontId="6" fillId="0" borderId="40" xfId="0" applyFont="1" applyFill="1" applyBorder="1" applyAlignment="1">
      <alignment horizontal="center" vertical="center" wrapText="1"/>
    </xf>
    <xf numFmtId="0" fontId="47" fillId="0" borderId="10" xfId="0" applyFont="1" applyFill="1" applyBorder="1" applyAlignment="1">
      <alignment horizontal="center" vertical="center" wrapText="1"/>
    </xf>
    <xf numFmtId="0" fontId="6" fillId="0" borderId="18" xfId="0" applyFont="1" applyFill="1" applyBorder="1" applyAlignment="1">
      <alignment horizontal="center" vertical="center" wrapText="1"/>
    </xf>
    <xf numFmtId="0" fontId="6" fillId="0" borderId="39" xfId="0" applyFont="1" applyFill="1" applyBorder="1" applyAlignment="1">
      <alignment horizontal="center" vertical="center" wrapText="1"/>
    </xf>
    <xf numFmtId="0" fontId="37" fillId="3" borderId="9" xfId="5" applyFont="1" applyFill="1" applyBorder="1" applyAlignment="1">
      <alignment horizontal="center" vertical="center" wrapText="1"/>
    </xf>
    <xf numFmtId="0" fontId="37" fillId="3" borderId="5" xfId="5" applyFont="1" applyFill="1" applyBorder="1" applyAlignment="1">
      <alignment horizontal="center" vertical="center" wrapText="1"/>
    </xf>
    <xf numFmtId="0" fontId="16" fillId="8" borderId="23" xfId="1" applyFont="1" applyFill="1" applyBorder="1" applyAlignment="1">
      <alignment horizontal="center" vertical="center" wrapText="1"/>
    </xf>
    <xf numFmtId="0" fontId="16" fillId="8" borderId="21" xfId="1" applyFont="1" applyFill="1" applyBorder="1" applyAlignment="1">
      <alignment horizontal="center" vertical="center" wrapText="1"/>
    </xf>
    <xf numFmtId="0" fontId="20" fillId="8" borderId="37" xfId="6" applyFont="1" applyFill="1" applyBorder="1" applyAlignment="1">
      <alignment horizontal="left" vertical="top" wrapText="1"/>
    </xf>
    <xf numFmtId="0" fontId="20" fillId="8" borderId="35" xfId="6" applyFont="1" applyFill="1" applyBorder="1" applyAlignment="1">
      <alignment horizontal="left" vertical="top" wrapText="1"/>
    </xf>
    <xf numFmtId="0" fontId="37" fillId="24" borderId="36" xfId="5" applyFont="1" applyFill="1" applyBorder="1" applyAlignment="1">
      <alignment horizontal="center" vertical="center" wrapText="1"/>
    </xf>
    <xf numFmtId="0" fontId="37" fillId="24" borderId="34" xfId="5" applyFont="1" applyFill="1" applyBorder="1" applyAlignment="1">
      <alignment horizontal="center" vertical="center" wrapText="1"/>
    </xf>
    <xf numFmtId="0" fontId="37" fillId="26" borderId="9" xfId="5" applyFont="1" applyFill="1" applyBorder="1" applyAlignment="1">
      <alignment horizontal="center" vertical="center" wrapText="1"/>
    </xf>
    <xf numFmtId="0" fontId="37" fillId="26" borderId="5" xfId="5" applyFont="1" applyFill="1" applyBorder="1" applyAlignment="1">
      <alignment horizontal="center" vertical="center" wrapText="1"/>
    </xf>
    <xf numFmtId="0" fontId="37" fillId="25" borderId="9" xfId="5" applyFont="1" applyFill="1" applyBorder="1" applyAlignment="1">
      <alignment horizontal="center" vertical="center" wrapText="1"/>
    </xf>
    <xf numFmtId="0" fontId="37" fillId="25" borderId="5" xfId="5" applyFont="1" applyFill="1" applyBorder="1" applyAlignment="1">
      <alignment horizontal="center" vertical="center" wrapText="1"/>
    </xf>
    <xf numFmtId="9" fontId="39" fillId="4" borderId="9" xfId="5" applyNumberFormat="1" applyFont="1" applyFill="1" applyBorder="1" applyAlignment="1">
      <alignment horizontal="center" vertical="center" wrapText="1"/>
    </xf>
    <xf numFmtId="9" fontId="39" fillId="4" borderId="5" xfId="5" applyNumberFormat="1" applyFont="1" applyFill="1" applyBorder="1" applyAlignment="1">
      <alignment horizontal="center" vertical="center" wrapText="1"/>
    </xf>
    <xf numFmtId="9" fontId="37" fillId="4" borderId="9" xfId="5" applyNumberFormat="1" applyFont="1" applyFill="1" applyBorder="1" applyAlignment="1">
      <alignment horizontal="center" vertical="center" wrapText="1"/>
    </xf>
    <xf numFmtId="0" fontId="25" fillId="8" borderId="16" xfId="1" applyFont="1" applyFill="1" applyBorder="1" applyAlignment="1">
      <alignment horizontal="left" vertical="center" wrapText="1" shrinkToFit="1"/>
    </xf>
    <xf numFmtId="0" fontId="25" fillId="8" borderId="19" xfId="1" applyFont="1" applyFill="1" applyBorder="1" applyAlignment="1">
      <alignment horizontal="left" vertical="center" wrapText="1" shrinkToFit="1"/>
    </xf>
    <xf numFmtId="0" fontId="25" fillId="8" borderId="17" xfId="1" applyFont="1" applyFill="1" applyBorder="1" applyAlignment="1">
      <alignment horizontal="left" vertical="center" wrapText="1" shrinkToFit="1"/>
    </xf>
    <xf numFmtId="0" fontId="16" fillId="12" borderId="15" xfId="1" applyFont="1" applyFill="1" applyBorder="1" applyAlignment="1">
      <alignment horizontal="center" vertical="top" wrapText="1"/>
    </xf>
    <xf numFmtId="0" fontId="16" fillId="0" borderId="23" xfId="3" applyFont="1" applyBorder="1" applyAlignment="1">
      <alignment horizontal="center" vertical="center" wrapText="1"/>
    </xf>
    <xf numFmtId="0" fontId="16" fillId="0" borderId="21" xfId="3" applyFont="1" applyBorder="1" applyAlignment="1">
      <alignment horizontal="center" vertical="center" wrapText="1"/>
    </xf>
    <xf numFmtId="0" fontId="16" fillId="8" borderId="15" xfId="1" applyFont="1" applyFill="1" applyBorder="1" applyAlignment="1">
      <alignment horizontal="center" vertical="center" wrapText="1"/>
    </xf>
    <xf numFmtId="0" fontId="16" fillId="8" borderId="23" xfId="3" applyFont="1" applyFill="1" applyBorder="1" applyAlignment="1">
      <alignment horizontal="center" vertical="center" wrapText="1"/>
    </xf>
    <xf numFmtId="0" fontId="16" fillId="8" borderId="21" xfId="3" applyFont="1" applyFill="1" applyBorder="1" applyAlignment="1">
      <alignment horizontal="center" vertical="center" wrapText="1"/>
    </xf>
    <xf numFmtId="165" fontId="16" fillId="8" borderId="15" xfId="3" applyNumberFormat="1" applyFont="1" applyFill="1" applyBorder="1" applyAlignment="1">
      <alignment horizontal="center" vertical="center" wrapText="1"/>
    </xf>
    <xf numFmtId="10" fontId="16" fillId="8" borderId="15" xfId="3" applyNumberFormat="1" applyFont="1" applyFill="1" applyBorder="1" applyAlignment="1">
      <alignment horizontal="center" vertical="center" wrapText="1"/>
    </xf>
    <xf numFmtId="0" fontId="15" fillId="9" borderId="15" xfId="1" applyFont="1" applyFill="1" applyBorder="1" applyAlignment="1">
      <alignment horizontal="center" vertical="center" wrapText="1"/>
    </xf>
    <xf numFmtId="9" fontId="18" fillId="10" borderId="15" xfId="4" applyFont="1" applyFill="1" applyBorder="1" applyAlignment="1">
      <alignment horizontal="center" vertical="center" wrapText="1" shrinkToFit="1"/>
    </xf>
    <xf numFmtId="0" fontId="16" fillId="9" borderId="15" xfId="1" applyFont="1" applyFill="1" applyBorder="1" applyAlignment="1">
      <alignment horizontal="center" vertical="center" wrapText="1"/>
    </xf>
    <xf numFmtId="9" fontId="16" fillId="0" borderId="15" xfId="4" applyFont="1" applyFill="1" applyBorder="1" applyAlignment="1">
      <alignment horizontal="center" vertical="center" wrapText="1" shrinkToFit="1"/>
    </xf>
    <xf numFmtId="9" fontId="18" fillId="0" borderId="15" xfId="4" applyFont="1" applyFill="1" applyBorder="1" applyAlignment="1">
      <alignment horizontal="center" vertical="center" wrapText="1" shrinkToFit="1"/>
    </xf>
    <xf numFmtId="9" fontId="18" fillId="10" borderId="23" xfId="4" applyFont="1" applyFill="1" applyBorder="1" applyAlignment="1">
      <alignment horizontal="center" vertical="center" wrapText="1" shrinkToFit="1"/>
    </xf>
    <xf numFmtId="9" fontId="18" fillId="10" borderId="24" xfId="4" applyFont="1" applyFill="1" applyBorder="1" applyAlignment="1">
      <alignment horizontal="center" vertical="center" wrapText="1" shrinkToFit="1"/>
    </xf>
    <xf numFmtId="0" fontId="16" fillId="8" borderId="15" xfId="2" applyFont="1" applyFill="1" applyBorder="1" applyAlignment="1">
      <alignment horizontal="center" vertical="center" wrapText="1"/>
    </xf>
    <xf numFmtId="0" fontId="9" fillId="8" borderId="15" xfId="2" applyFill="1" applyBorder="1" applyAlignment="1">
      <alignment horizontal="center" vertical="center" wrapText="1"/>
    </xf>
    <xf numFmtId="166" fontId="16" fillId="8" borderId="23" xfId="7" applyNumberFormat="1" applyFont="1" applyFill="1" applyBorder="1" applyAlignment="1">
      <alignment horizontal="center" vertical="center" wrapText="1"/>
    </xf>
    <xf numFmtId="166" fontId="16" fillId="8" borderId="21" xfId="7" applyNumberFormat="1" applyFont="1" applyFill="1" applyBorder="1" applyAlignment="1">
      <alignment horizontal="center" vertical="center" wrapText="1"/>
    </xf>
    <xf numFmtId="0" fontId="16" fillId="8" borderId="15" xfId="3" applyFont="1" applyFill="1" applyBorder="1" applyAlignment="1">
      <alignment horizontal="center" vertical="center" wrapText="1"/>
    </xf>
    <xf numFmtId="0" fontId="16" fillId="0" borderId="15" xfId="1" applyFont="1" applyBorder="1" applyAlignment="1">
      <alignment horizontal="center" vertical="center" wrapText="1"/>
    </xf>
    <xf numFmtId="1" fontId="16" fillId="8" borderId="15" xfId="1" applyNumberFormat="1" applyFont="1" applyFill="1" applyBorder="1" applyAlignment="1">
      <alignment horizontal="center" vertical="center" wrapText="1"/>
    </xf>
    <xf numFmtId="0" fontId="16" fillId="9" borderId="23" xfId="1" applyFont="1" applyFill="1" applyBorder="1" applyAlignment="1">
      <alignment horizontal="center" vertical="center" wrapText="1"/>
    </xf>
    <xf numFmtId="0" fontId="16" fillId="0" borderId="24" xfId="3" applyFont="1" applyBorder="1" applyAlignment="1">
      <alignment horizontal="center" vertical="center" wrapText="1"/>
    </xf>
    <xf numFmtId="0" fontId="9" fillId="8" borderId="20" xfId="2" applyFill="1" applyBorder="1" applyAlignment="1">
      <alignment horizontal="center" vertical="center" wrapText="1"/>
    </xf>
    <xf numFmtId="0" fontId="16" fillId="8" borderId="16" xfId="1" applyFont="1" applyFill="1" applyBorder="1" applyAlignment="1">
      <alignment horizontal="center" vertical="center" wrapText="1"/>
    </xf>
    <xf numFmtId="9" fontId="18" fillId="10" borderId="21" xfId="4" applyFont="1" applyFill="1" applyBorder="1" applyAlignment="1">
      <alignment horizontal="center" vertical="center" wrapText="1" shrinkToFit="1"/>
    </xf>
    <xf numFmtId="0" fontId="16" fillId="8" borderId="15" xfId="1" applyFont="1" applyFill="1" applyBorder="1" applyAlignment="1">
      <alignment horizontal="center" vertical="top" wrapText="1"/>
    </xf>
    <xf numFmtId="0" fontId="16" fillId="8" borderId="22" xfId="1" applyFont="1" applyFill="1" applyBorder="1" applyAlignment="1">
      <alignment horizontal="center" vertical="center" wrapText="1"/>
    </xf>
    <xf numFmtId="0" fontId="16" fillId="0" borderId="15" xfId="3" applyFont="1" applyBorder="1" applyAlignment="1">
      <alignment horizontal="center" vertical="center" wrapText="1"/>
    </xf>
    <xf numFmtId="1" fontId="16" fillId="8" borderId="23" xfId="1" applyNumberFormat="1" applyFont="1" applyFill="1" applyBorder="1" applyAlignment="1">
      <alignment horizontal="center" vertical="center" wrapText="1"/>
    </xf>
    <xf numFmtId="1" fontId="16" fillId="8" borderId="21" xfId="1" applyNumberFormat="1" applyFont="1" applyFill="1" applyBorder="1" applyAlignment="1">
      <alignment horizontal="center" vertical="center" wrapText="1"/>
    </xf>
    <xf numFmtId="1" fontId="16" fillId="0" borderId="23" xfId="3" applyNumberFormat="1" applyFont="1" applyBorder="1" applyAlignment="1">
      <alignment horizontal="center" vertical="center" wrapText="1"/>
    </xf>
    <xf numFmtId="1" fontId="16" fillId="0" borderId="21" xfId="3" applyNumberFormat="1" applyFont="1" applyBorder="1" applyAlignment="1">
      <alignment horizontal="center" vertical="center" wrapText="1"/>
    </xf>
    <xf numFmtId="1" fontId="16" fillId="0" borderId="24" xfId="3" applyNumberFormat="1" applyFont="1" applyBorder="1" applyAlignment="1">
      <alignment horizontal="center" vertical="center" wrapText="1"/>
    </xf>
    <xf numFmtId="0" fontId="16" fillId="8" borderId="24" xfId="1" applyFont="1" applyFill="1" applyBorder="1" applyAlignment="1">
      <alignment horizontal="center" vertical="center" wrapText="1"/>
    </xf>
    <xf numFmtId="0" fontId="16" fillId="0" borderId="23" xfId="1" applyFont="1" applyBorder="1" applyAlignment="1">
      <alignment horizontal="center" vertical="center" wrapText="1"/>
    </xf>
    <xf numFmtId="0" fontId="16" fillId="0" borderId="21" xfId="1" applyFont="1" applyBorder="1" applyAlignment="1">
      <alignment horizontal="center" vertical="center" wrapText="1"/>
    </xf>
    <xf numFmtId="0" fontId="15" fillId="0" borderId="23" xfId="1" applyFont="1" applyBorder="1" applyAlignment="1">
      <alignment horizontal="center" vertical="center" wrapText="1"/>
    </xf>
    <xf numFmtId="0" fontId="15" fillId="0" borderId="21" xfId="1" applyFont="1" applyBorder="1" applyAlignment="1">
      <alignment horizontal="center" vertical="center" wrapText="1"/>
    </xf>
    <xf numFmtId="0" fontId="16" fillId="12" borderId="23" xfId="1" applyFont="1" applyFill="1" applyBorder="1" applyAlignment="1">
      <alignment horizontal="center" vertical="top" wrapText="1"/>
    </xf>
    <xf numFmtId="9" fontId="18" fillId="0" borderId="23" xfId="4" applyFont="1" applyFill="1" applyBorder="1" applyAlignment="1">
      <alignment horizontal="center" vertical="center" wrapText="1" shrinkToFit="1"/>
    </xf>
    <xf numFmtId="0" fontId="15" fillId="9" borderId="23" xfId="1" applyFont="1" applyFill="1" applyBorder="1" applyAlignment="1">
      <alignment horizontal="center" vertical="center" wrapText="1"/>
    </xf>
    <xf numFmtId="0" fontId="15" fillId="9" borderId="21" xfId="1" applyFont="1" applyFill="1" applyBorder="1" applyAlignment="1">
      <alignment horizontal="center" vertical="center" wrapText="1"/>
    </xf>
    <xf numFmtId="164" fontId="16" fillId="8" borderId="23" xfId="7" applyNumberFormat="1" applyFont="1" applyFill="1" applyBorder="1" applyAlignment="1">
      <alignment horizontal="center" vertical="center" wrapText="1"/>
    </xf>
    <xf numFmtId="164" fontId="16" fillId="8" borderId="21" xfId="7" applyNumberFormat="1" applyFont="1" applyFill="1" applyBorder="1" applyAlignment="1">
      <alignment horizontal="center" vertical="center" wrapText="1"/>
    </xf>
    <xf numFmtId="0" fontId="20" fillId="8" borderId="23" xfId="6" applyFont="1" applyFill="1" applyBorder="1" applyAlignment="1">
      <alignment horizontal="left" vertical="top" wrapText="1"/>
    </xf>
    <xf numFmtId="0" fontId="20" fillId="8" borderId="24" xfId="6" applyFont="1" applyFill="1" applyBorder="1" applyAlignment="1">
      <alignment horizontal="left" vertical="top" wrapText="1"/>
    </xf>
    <xf numFmtId="0" fontId="16" fillId="12" borderId="23" xfId="3" applyFont="1" applyFill="1" applyBorder="1" applyAlignment="1">
      <alignment horizontal="center" vertical="center" wrapText="1"/>
    </xf>
    <xf numFmtId="0" fontId="16" fillId="12" borderId="21" xfId="3" applyFont="1" applyFill="1" applyBorder="1" applyAlignment="1">
      <alignment horizontal="center" vertical="center" wrapText="1"/>
    </xf>
    <xf numFmtId="0" fontId="20" fillId="8" borderId="15" xfId="6" applyFont="1" applyFill="1" applyBorder="1" applyAlignment="1">
      <alignment horizontal="left" vertical="top" wrapText="1"/>
    </xf>
    <xf numFmtId="0" fontId="20" fillId="8" borderId="24" xfId="1" applyFont="1" applyFill="1" applyBorder="1" applyAlignment="1">
      <alignment horizontal="center" vertical="center" wrapText="1"/>
    </xf>
    <xf numFmtId="49" fontId="16" fillId="8" borderId="23" xfId="1" applyNumberFormat="1" applyFont="1" applyFill="1" applyBorder="1" applyAlignment="1">
      <alignment horizontal="center" vertical="center" wrapText="1"/>
    </xf>
    <xf numFmtId="49" fontId="16" fillId="8" borderId="21" xfId="1" applyNumberFormat="1" applyFont="1" applyFill="1" applyBorder="1" applyAlignment="1">
      <alignment horizontal="center" vertical="center" wrapText="1"/>
    </xf>
    <xf numFmtId="0" fontId="20" fillId="8" borderId="23" xfId="1" applyFont="1" applyFill="1" applyBorder="1" applyAlignment="1">
      <alignment horizontal="center" vertical="center" wrapText="1"/>
    </xf>
    <xf numFmtId="49" fontId="16" fillId="12" borderId="23" xfId="1" applyNumberFormat="1" applyFont="1" applyFill="1" applyBorder="1" applyAlignment="1">
      <alignment horizontal="center" vertical="center" wrapText="1"/>
    </xf>
    <xf numFmtId="49" fontId="16" fillId="12" borderId="21" xfId="1" applyNumberFormat="1" applyFont="1" applyFill="1" applyBorder="1" applyAlignment="1">
      <alignment horizontal="center" vertical="center" wrapText="1"/>
    </xf>
    <xf numFmtId="0" fontId="16" fillId="12" borderId="15" xfId="1" applyFont="1" applyFill="1" applyBorder="1" applyAlignment="1">
      <alignment horizontal="center" vertical="center" wrapText="1"/>
    </xf>
    <xf numFmtId="0" fontId="20" fillId="12" borderId="23" xfId="6" applyFont="1" applyFill="1" applyBorder="1" applyAlignment="1">
      <alignment horizontal="left" vertical="top" wrapText="1"/>
    </xf>
    <xf numFmtId="0" fontId="20" fillId="12" borderId="24" xfId="6" applyFont="1" applyFill="1" applyBorder="1" applyAlignment="1">
      <alignment horizontal="left" vertical="top" wrapText="1"/>
    </xf>
    <xf numFmtId="49" fontId="16" fillId="8" borderId="24" xfId="1" applyNumberFormat="1" applyFont="1" applyFill="1" applyBorder="1" applyAlignment="1">
      <alignment horizontal="center" vertical="center" wrapText="1"/>
    </xf>
    <xf numFmtId="49" fontId="16" fillId="12" borderId="15" xfId="1" applyNumberFormat="1" applyFont="1" applyFill="1" applyBorder="1" applyAlignment="1">
      <alignment horizontal="center" vertical="center" wrapText="1"/>
    </xf>
    <xf numFmtId="0" fontId="16" fillId="12" borderId="23" xfId="1" applyFont="1" applyFill="1" applyBorder="1" applyAlignment="1">
      <alignment horizontal="center" vertical="center" wrapText="1"/>
    </xf>
    <xf numFmtId="0" fontId="16" fillId="12" borderId="24" xfId="3" applyFont="1" applyFill="1" applyBorder="1" applyAlignment="1">
      <alignment horizontal="center" vertical="center" wrapText="1"/>
    </xf>
    <xf numFmtId="0" fontId="15" fillId="8" borderId="15" xfId="1" applyFont="1" applyFill="1" applyBorder="1" applyAlignment="1">
      <alignment horizontal="center" vertical="center" wrapText="1"/>
    </xf>
    <xf numFmtId="0" fontId="22" fillId="8" borderId="15" xfId="8" applyFont="1" applyFill="1" applyBorder="1" applyAlignment="1">
      <alignment horizontal="left" vertical="top" wrapText="1"/>
    </xf>
    <xf numFmtId="49" fontId="15" fillId="8" borderId="23" xfId="1" applyNumberFormat="1" applyFont="1" applyFill="1" applyBorder="1" applyAlignment="1">
      <alignment horizontal="center" vertical="center" wrapText="1"/>
    </xf>
    <xf numFmtId="49" fontId="15" fillId="8" borderId="21" xfId="1" applyNumberFormat="1" applyFont="1" applyFill="1" applyBorder="1" applyAlignment="1">
      <alignment horizontal="center" vertical="center" wrapText="1"/>
    </xf>
    <xf numFmtId="0" fontId="16" fillId="0" borderId="15" xfId="1" applyFont="1" applyBorder="1" applyAlignment="1">
      <alignment horizontal="left" vertical="top" wrapText="1"/>
    </xf>
    <xf numFmtId="0" fontId="20" fillId="8" borderId="23" xfId="8" applyFont="1" applyFill="1" applyBorder="1" applyAlignment="1" applyProtection="1">
      <alignment horizontal="left" vertical="top" wrapText="1"/>
    </xf>
    <xf numFmtId="0" fontId="20" fillId="8" borderId="24" xfId="8" applyFont="1" applyFill="1" applyBorder="1" applyAlignment="1" applyProtection="1">
      <alignment horizontal="left" vertical="top" wrapText="1"/>
    </xf>
    <xf numFmtId="0" fontId="16" fillId="8" borderId="15" xfId="3" applyFont="1" applyFill="1" applyBorder="1" applyAlignment="1">
      <alignment horizontal="center" vertical="top" wrapText="1"/>
    </xf>
    <xf numFmtId="10" fontId="16" fillId="8" borderId="15" xfId="1" applyNumberFormat="1" applyFont="1" applyFill="1" applyBorder="1" applyAlignment="1">
      <alignment horizontal="center" vertical="center" wrapText="1"/>
    </xf>
    <xf numFmtId="0" fontId="16" fillId="0" borderId="23" xfId="1" applyFont="1" applyBorder="1" applyAlignment="1">
      <alignment horizontal="center" vertical="top" wrapText="1"/>
    </xf>
    <xf numFmtId="0" fontId="16" fillId="0" borderId="21" xfId="1" applyFont="1" applyBorder="1" applyAlignment="1">
      <alignment horizontal="center" vertical="top" wrapText="1"/>
    </xf>
    <xf numFmtId="0" fontId="15" fillId="0" borderId="15" xfId="1" applyFont="1" applyBorder="1" applyAlignment="1">
      <alignment horizontal="left" vertical="top" wrapText="1"/>
    </xf>
    <xf numFmtId="0" fontId="15" fillId="0" borderId="15" xfId="1" applyFont="1" applyBorder="1" applyAlignment="1">
      <alignment horizontal="center" vertical="center" wrapText="1"/>
    </xf>
    <xf numFmtId="49" fontId="16" fillId="8" borderId="15" xfId="1" applyNumberFormat="1" applyFont="1" applyFill="1" applyBorder="1" applyAlignment="1">
      <alignment horizontal="center" vertical="center" wrapText="1"/>
    </xf>
    <xf numFmtId="1" fontId="16" fillId="8" borderId="15" xfId="3" applyNumberFormat="1" applyFont="1" applyFill="1" applyBorder="1" applyAlignment="1">
      <alignment horizontal="center" vertical="center" wrapText="1"/>
    </xf>
    <xf numFmtId="165" fontId="16" fillId="8" borderId="23" xfId="1" applyNumberFormat="1" applyFont="1" applyFill="1" applyBorder="1" applyAlignment="1">
      <alignment horizontal="center" vertical="center" wrapText="1"/>
    </xf>
    <xf numFmtId="165" fontId="16" fillId="8" borderId="21" xfId="1" applyNumberFormat="1" applyFont="1" applyFill="1" applyBorder="1" applyAlignment="1">
      <alignment horizontal="center" vertical="center" wrapText="1"/>
    </xf>
    <xf numFmtId="2" fontId="16" fillId="8" borderId="23" xfId="1" applyNumberFormat="1" applyFont="1" applyFill="1" applyBorder="1" applyAlignment="1">
      <alignment horizontal="center" vertical="center" wrapText="1"/>
    </xf>
    <xf numFmtId="2" fontId="16" fillId="8" borderId="21" xfId="1" applyNumberFormat="1" applyFont="1" applyFill="1" applyBorder="1" applyAlignment="1">
      <alignment horizontal="center" vertical="center" wrapText="1"/>
    </xf>
    <xf numFmtId="49" fontId="15" fillId="8" borderId="26" xfId="1" applyNumberFormat="1" applyFont="1" applyFill="1" applyBorder="1" applyAlignment="1">
      <alignment horizontal="center" vertical="center" wrapText="1"/>
    </xf>
    <xf numFmtId="49" fontId="15" fillId="8" borderId="25" xfId="1" applyNumberFormat="1" applyFont="1" applyFill="1" applyBorder="1" applyAlignment="1">
      <alignment horizontal="center" vertical="center" wrapText="1"/>
    </xf>
    <xf numFmtId="0" fontId="16" fillId="0" borderId="23" xfId="1" applyFont="1" applyBorder="1" applyAlignment="1">
      <alignment horizontal="left" vertical="top" wrapText="1"/>
    </xf>
    <xf numFmtId="0" fontId="16" fillId="0" borderId="21" xfId="1" applyFont="1" applyBorder="1" applyAlignment="1">
      <alignment horizontal="left" vertical="top" wrapText="1"/>
    </xf>
    <xf numFmtId="0" fontId="15" fillId="8" borderId="23" xfId="1" applyFont="1" applyFill="1" applyBorder="1" applyAlignment="1">
      <alignment horizontal="center" vertical="center" wrapText="1"/>
    </xf>
    <xf numFmtId="0" fontId="15" fillId="8" borderId="21" xfId="1" applyFont="1" applyFill="1" applyBorder="1" applyAlignment="1">
      <alignment horizontal="center" vertical="center" wrapText="1"/>
    </xf>
    <xf numFmtId="0" fontId="20" fillId="8" borderId="21" xfId="8" applyFont="1" applyFill="1" applyBorder="1" applyAlignment="1" applyProtection="1">
      <alignment horizontal="left" vertical="top" wrapText="1"/>
    </xf>
    <xf numFmtId="0" fontId="16" fillId="9" borderId="21" xfId="1" applyFont="1" applyFill="1" applyBorder="1" applyAlignment="1">
      <alignment horizontal="center" vertical="center" wrapText="1"/>
    </xf>
    <xf numFmtId="9" fontId="16" fillId="8" borderId="23" xfId="1" applyNumberFormat="1" applyFont="1" applyFill="1" applyBorder="1" applyAlignment="1">
      <alignment horizontal="center" vertical="center" wrapText="1"/>
    </xf>
    <xf numFmtId="0" fontId="16" fillId="8" borderId="23" xfId="1" applyFont="1" applyFill="1" applyBorder="1" applyAlignment="1">
      <alignment horizontal="center" vertical="top" wrapText="1"/>
    </xf>
    <xf numFmtId="0" fontId="16" fillId="8" borderId="21" xfId="1" applyFont="1" applyFill="1" applyBorder="1" applyAlignment="1">
      <alignment horizontal="center" vertical="top" wrapText="1"/>
    </xf>
    <xf numFmtId="9" fontId="16" fillId="8" borderId="15" xfId="1" applyNumberFormat="1" applyFont="1" applyFill="1" applyBorder="1" applyAlignment="1">
      <alignment horizontal="center" vertical="center" wrapText="1"/>
    </xf>
    <xf numFmtId="0" fontId="16" fillId="9" borderId="23" xfId="1" applyFont="1" applyFill="1" applyBorder="1" applyAlignment="1">
      <alignment horizontal="center" vertical="top" wrapText="1"/>
    </xf>
    <xf numFmtId="0" fontId="16" fillId="9" borderId="21" xfId="1" applyFont="1" applyFill="1" applyBorder="1" applyAlignment="1">
      <alignment horizontal="center" vertical="top" wrapText="1"/>
    </xf>
    <xf numFmtId="9" fontId="18" fillId="0" borderId="21" xfId="4" applyFont="1" applyFill="1" applyBorder="1" applyAlignment="1">
      <alignment horizontal="center" vertical="center" wrapText="1" shrinkToFit="1"/>
    </xf>
    <xf numFmtId="164" fontId="15" fillId="9" borderId="23" xfId="7" applyNumberFormat="1" applyFont="1" applyFill="1" applyBorder="1" applyAlignment="1">
      <alignment horizontal="center" vertical="center" wrapText="1"/>
    </xf>
    <xf numFmtId="164" fontId="15" fillId="9" borderId="21" xfId="7" applyNumberFormat="1" applyFont="1" applyFill="1" applyBorder="1" applyAlignment="1">
      <alignment horizontal="center" vertical="center" wrapText="1"/>
    </xf>
    <xf numFmtId="0" fontId="16" fillId="0" borderId="15" xfId="1" applyFont="1" applyBorder="1" applyAlignment="1">
      <alignment horizontal="center" vertical="top" wrapText="1"/>
    </xf>
    <xf numFmtId="164" fontId="15" fillId="9" borderId="15" xfId="7" applyNumberFormat="1" applyFont="1" applyFill="1" applyBorder="1" applyAlignment="1">
      <alignment horizontal="center" vertical="center" wrapText="1"/>
    </xf>
    <xf numFmtId="9" fontId="18" fillId="9" borderId="23" xfId="4" applyFont="1" applyFill="1" applyBorder="1" applyAlignment="1">
      <alignment horizontal="center" vertical="center" wrapText="1" shrinkToFit="1"/>
    </xf>
    <xf numFmtId="9" fontId="18" fillId="9" borderId="21" xfId="4" applyFont="1" applyFill="1" applyBorder="1" applyAlignment="1">
      <alignment horizontal="center" vertical="center" wrapText="1" shrinkToFit="1"/>
    </xf>
    <xf numFmtId="0" fontId="16" fillId="15" borderId="15" xfId="1" applyFont="1" applyFill="1" applyBorder="1" applyAlignment="1">
      <alignment horizontal="center" vertical="center" wrapText="1"/>
    </xf>
    <xf numFmtId="0" fontId="16" fillId="16" borderId="23" xfId="1" applyFont="1" applyFill="1" applyBorder="1" applyAlignment="1">
      <alignment horizontal="center" vertical="center" wrapText="1"/>
    </xf>
    <xf numFmtId="0" fontId="16" fillId="16" borderId="21" xfId="1" applyFont="1" applyFill="1" applyBorder="1" applyAlignment="1">
      <alignment horizontal="center" vertical="center" wrapText="1"/>
    </xf>
    <xf numFmtId="0" fontId="47" fillId="59" borderId="7" xfId="0" applyFont="1" applyFill="1" applyBorder="1" applyAlignment="1">
      <alignment horizontal="center" vertical="center" wrapText="1"/>
    </xf>
    <xf numFmtId="0" fontId="5" fillId="59" borderId="8" xfId="0" applyFont="1" applyFill="1" applyBorder="1"/>
    <xf numFmtId="0" fontId="5" fillId="59" borderId="10" xfId="0" applyFont="1" applyFill="1" applyBorder="1"/>
    <xf numFmtId="0" fontId="5" fillId="59" borderId="4" xfId="0" applyFont="1" applyFill="1" applyBorder="1"/>
  </cellXfs>
  <cellStyles count="20">
    <cellStyle name="Bad 2" xfId="8" xr:uid="{94291AB8-6F5A-4483-B2E7-C3B066596063}"/>
    <cellStyle name="Currency 2" xfId="14" xr:uid="{F95C991F-65AE-4915-A9B7-D18827544608}"/>
    <cellStyle name="Good 2" xfId="2" xr:uid="{40BCBB1E-EFD6-4EE1-B35B-32D25C571665}"/>
    <cellStyle name="Hyperlink" xfId="19" builtinId="8"/>
    <cellStyle name="Neutral 2" xfId="10" xr:uid="{2F810BC8-235B-4DE7-B2A0-1374E8C35825}"/>
    <cellStyle name="Normal" xfId="0" builtinId="0"/>
    <cellStyle name="Normal 10" xfId="5" xr:uid="{0D5AF465-ACDF-4977-BA5F-34D23A165B30}"/>
    <cellStyle name="Normal 12" xfId="12" xr:uid="{A8752E42-456B-4271-841C-21BCA0EEEFB0}"/>
    <cellStyle name="Normal 2" xfId="3" xr:uid="{2D5375B0-501F-482B-AD9F-1B04E4583A98}"/>
    <cellStyle name="Normal 2 4" xfId="1" xr:uid="{80C24571-9538-4D74-8C6A-1701A2A1D114}"/>
    <cellStyle name="Normal 2 5 2 2" xfId="11" xr:uid="{04C2328B-4A66-4FE9-A574-AFB5BBB5640B}"/>
    <cellStyle name="Normal 2 5 2 2 2" xfId="18" xr:uid="{43FE8E11-0454-4409-ADE3-F9C3A06155E0}"/>
    <cellStyle name="Normal 2 6" xfId="9" xr:uid="{13AA5F98-C98D-41B8-A876-F9C7E183DBA0}"/>
    <cellStyle name="Normal 2 6 2" xfId="17" xr:uid="{A753FE7B-0750-42D9-9BFB-0646A1F8BA1B}"/>
    <cellStyle name="Normal 3" xfId="15" xr:uid="{44756A39-5203-4E15-8C18-8B12C1681B26}"/>
    <cellStyle name="Normal 3 2" xfId="13" xr:uid="{B39153F9-DA83-42A6-8AAE-6B45FCD5017A}"/>
    <cellStyle name="Normal 4" xfId="16" xr:uid="{AA3B3391-E26B-4464-A1C8-D687E45CABC8}"/>
    <cellStyle name="Percent 2 2" xfId="4" xr:uid="{A6788D7D-B2DA-4E9C-BC2C-0E017ED353E3}"/>
    <cellStyle name="Percent 3" xfId="7" xr:uid="{E02333A1-A64E-44F6-A9A7-B0B48F7B5992}"/>
    <cellStyle name="Style 1" xfId="6" xr:uid="{8B593981-81DA-448F-A641-56521DC7922F}"/>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s>
  <tableStyles count="0" defaultTableStyle="TableStyleMedium2" defaultPivotStyle="PivotStyleLight16"/>
  <colors>
    <mruColors>
      <color rgb="FFC65911"/>
      <color rgb="FFFFC000"/>
      <color rgb="FF92D050"/>
      <color rgb="FF40AEDB"/>
      <color rgb="FF9369AC"/>
      <color rgb="FFBFBFBF"/>
      <color rgb="FF4B27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TOC!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TOC!A1"/></Relationships>
</file>

<file path=xl/drawings/_rels/vmlDrawing4.v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png"/><Relationship Id="rId1" Type="http://schemas.openxmlformats.org/officeDocument/2006/relationships/image" Target="../media/image2.jpeg"/><Relationship Id="rId6" Type="http://schemas.openxmlformats.org/officeDocument/2006/relationships/image" Target="../media/image7.jpeg"/><Relationship Id="rId5" Type="http://schemas.openxmlformats.org/officeDocument/2006/relationships/image" Target="../media/image6.jpeg"/><Relationship Id="rId4" Type="http://schemas.openxmlformats.org/officeDocument/2006/relationships/image" Target="../media/image5.jpeg"/></Relationships>
</file>

<file path=xl/drawings/_rels/vmlDrawing5.v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png"/><Relationship Id="rId4" Type="http://schemas.openxmlformats.org/officeDocument/2006/relationships/image" Target="../media/image11.jpeg"/></Relationships>
</file>

<file path=xl/drawings/drawing1.xml><?xml version="1.0" encoding="utf-8"?>
<xdr:wsDr xmlns:xdr="http://schemas.openxmlformats.org/drawingml/2006/spreadsheetDrawing" xmlns:a="http://schemas.openxmlformats.org/drawingml/2006/main">
  <xdr:oneCellAnchor>
    <xdr:from>
      <xdr:col>10</xdr:col>
      <xdr:colOff>977900</xdr:colOff>
      <xdr:row>0</xdr:row>
      <xdr:rowOff>0</xdr:rowOff>
    </xdr:from>
    <xdr:ext cx="2010280" cy="617763"/>
    <xdr:pic>
      <xdr:nvPicPr>
        <xdr:cNvPr id="2" name="Picture 1">
          <a:hlinkClick xmlns:r="http://schemas.openxmlformats.org/officeDocument/2006/relationships" r:id="rId1"/>
          <a:extLst>
            <a:ext uri="{FF2B5EF4-FFF2-40B4-BE49-F238E27FC236}">
              <a16:creationId xmlns:a16="http://schemas.microsoft.com/office/drawing/2014/main" id="{0954727F-B6FE-4338-82EF-46F853236DED}"/>
            </a:ext>
          </a:extLst>
        </xdr:cNvPr>
        <xdr:cNvPicPr>
          <a:picLocks noChangeAspect="1"/>
        </xdr:cNvPicPr>
      </xdr:nvPicPr>
      <xdr:blipFill>
        <a:blip xmlns:r="http://schemas.openxmlformats.org/officeDocument/2006/relationships" r:embed="rId2"/>
        <a:stretch>
          <a:fillRect/>
        </a:stretch>
      </xdr:blipFill>
      <xdr:spPr>
        <a:xfrm>
          <a:off x="8283575" y="0"/>
          <a:ext cx="2010280" cy="617763"/>
        </a:xfrm>
        <a:prstGeom prst="rect">
          <a:avLst/>
        </a:prstGeom>
      </xdr:spPr>
    </xdr:pic>
    <xdr:clientData/>
  </xdr:oneCellAnchor>
  <xdr:oneCellAnchor>
    <xdr:from>
      <xdr:col>26</xdr:col>
      <xdr:colOff>0</xdr:colOff>
      <xdr:row>0</xdr:row>
      <xdr:rowOff>0</xdr:rowOff>
    </xdr:from>
    <xdr:ext cx="2015228" cy="617763"/>
    <xdr:pic>
      <xdr:nvPicPr>
        <xdr:cNvPr id="3" name="Picture 2">
          <a:hlinkClick xmlns:r="http://schemas.openxmlformats.org/officeDocument/2006/relationships" r:id="rId1"/>
          <a:extLst>
            <a:ext uri="{FF2B5EF4-FFF2-40B4-BE49-F238E27FC236}">
              <a16:creationId xmlns:a16="http://schemas.microsoft.com/office/drawing/2014/main" id="{FC9604F6-E0B4-4FF1-A02F-8A35F431A1E7}"/>
            </a:ext>
          </a:extLst>
        </xdr:cNvPr>
        <xdr:cNvPicPr>
          <a:picLocks noChangeAspect="1"/>
        </xdr:cNvPicPr>
      </xdr:nvPicPr>
      <xdr:blipFill>
        <a:blip xmlns:r="http://schemas.openxmlformats.org/officeDocument/2006/relationships" r:embed="rId2"/>
        <a:stretch>
          <a:fillRect/>
        </a:stretch>
      </xdr:blipFill>
      <xdr:spPr>
        <a:xfrm>
          <a:off x="19059525" y="0"/>
          <a:ext cx="2015228" cy="617763"/>
        </a:xfrm>
        <a:prstGeom prst="rect">
          <a:avLst/>
        </a:prstGeom>
      </xdr:spPr>
    </xdr:pic>
    <xdr:clientData/>
  </xdr:oneCellAnchor>
  <xdr:oneCellAnchor>
    <xdr:from>
      <xdr:col>40</xdr:col>
      <xdr:colOff>0</xdr:colOff>
      <xdr:row>0</xdr:row>
      <xdr:rowOff>0</xdr:rowOff>
    </xdr:from>
    <xdr:ext cx="2021414" cy="617763"/>
    <xdr:pic>
      <xdr:nvPicPr>
        <xdr:cNvPr id="4" name="Picture 3">
          <a:hlinkClick xmlns:r="http://schemas.openxmlformats.org/officeDocument/2006/relationships" r:id="rId1"/>
          <a:extLst>
            <a:ext uri="{FF2B5EF4-FFF2-40B4-BE49-F238E27FC236}">
              <a16:creationId xmlns:a16="http://schemas.microsoft.com/office/drawing/2014/main" id="{466BEF8B-4FFD-46AC-9DD0-DFD74F2D5310}"/>
            </a:ext>
          </a:extLst>
        </xdr:cNvPr>
        <xdr:cNvPicPr>
          <a:picLocks noChangeAspect="1"/>
        </xdr:cNvPicPr>
      </xdr:nvPicPr>
      <xdr:blipFill>
        <a:blip xmlns:r="http://schemas.openxmlformats.org/officeDocument/2006/relationships" r:embed="rId2"/>
        <a:stretch>
          <a:fillRect/>
        </a:stretch>
      </xdr:blipFill>
      <xdr:spPr>
        <a:xfrm>
          <a:off x="30660975" y="0"/>
          <a:ext cx="2021414" cy="617763"/>
        </a:xfrm>
        <a:prstGeom prst="rect">
          <a:avLst/>
        </a:prstGeom>
      </xdr:spPr>
    </xdr:pic>
    <xdr:clientData/>
  </xdr:oneCellAnchor>
  <xdr:oneCellAnchor>
    <xdr:from>
      <xdr:col>52</xdr:col>
      <xdr:colOff>0</xdr:colOff>
      <xdr:row>0</xdr:row>
      <xdr:rowOff>0</xdr:rowOff>
    </xdr:from>
    <xdr:ext cx="2011516" cy="617763"/>
    <xdr:pic>
      <xdr:nvPicPr>
        <xdr:cNvPr id="5" name="Picture 4">
          <a:hlinkClick xmlns:r="http://schemas.openxmlformats.org/officeDocument/2006/relationships" r:id="rId1"/>
          <a:extLst>
            <a:ext uri="{FF2B5EF4-FFF2-40B4-BE49-F238E27FC236}">
              <a16:creationId xmlns:a16="http://schemas.microsoft.com/office/drawing/2014/main" id="{CCC90CA4-75F1-4592-B693-9FA62E27E251}"/>
            </a:ext>
          </a:extLst>
        </xdr:cNvPr>
        <xdr:cNvPicPr>
          <a:picLocks noChangeAspect="1"/>
        </xdr:cNvPicPr>
      </xdr:nvPicPr>
      <xdr:blipFill>
        <a:blip xmlns:r="http://schemas.openxmlformats.org/officeDocument/2006/relationships" r:embed="rId2"/>
        <a:stretch>
          <a:fillRect/>
        </a:stretch>
      </xdr:blipFill>
      <xdr:spPr>
        <a:xfrm>
          <a:off x="40605075" y="0"/>
          <a:ext cx="2011516" cy="617763"/>
        </a:xfrm>
        <a:prstGeom prst="rect">
          <a:avLst/>
        </a:prstGeom>
      </xdr:spPr>
    </xdr:pic>
    <xdr:clientData/>
  </xdr:oneCellAnchor>
  <xdr:oneCellAnchor>
    <xdr:from>
      <xdr:col>62</xdr:col>
      <xdr:colOff>54428</xdr:colOff>
      <xdr:row>0</xdr:row>
      <xdr:rowOff>0</xdr:rowOff>
    </xdr:from>
    <xdr:ext cx="2017702" cy="617763"/>
    <xdr:pic>
      <xdr:nvPicPr>
        <xdr:cNvPr id="6" name="Picture 5">
          <a:hlinkClick xmlns:r="http://schemas.openxmlformats.org/officeDocument/2006/relationships" r:id="rId1"/>
          <a:extLst>
            <a:ext uri="{FF2B5EF4-FFF2-40B4-BE49-F238E27FC236}">
              <a16:creationId xmlns:a16="http://schemas.microsoft.com/office/drawing/2014/main" id="{DDCB9B43-5DC0-43BB-9341-6B407D4D9A9A}"/>
            </a:ext>
          </a:extLst>
        </xdr:cNvPr>
        <xdr:cNvPicPr>
          <a:picLocks noChangeAspect="1"/>
        </xdr:cNvPicPr>
      </xdr:nvPicPr>
      <xdr:blipFill>
        <a:blip xmlns:r="http://schemas.openxmlformats.org/officeDocument/2006/relationships" r:embed="rId2"/>
        <a:stretch>
          <a:fillRect/>
        </a:stretch>
      </xdr:blipFill>
      <xdr:spPr>
        <a:xfrm>
          <a:off x="48946253" y="0"/>
          <a:ext cx="2017702" cy="617763"/>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6</xdr:col>
      <xdr:colOff>1315254</xdr:colOff>
      <xdr:row>0</xdr:row>
      <xdr:rowOff>0</xdr:rowOff>
    </xdr:from>
    <xdr:ext cx="2008877" cy="613145"/>
    <xdr:pic>
      <xdr:nvPicPr>
        <xdr:cNvPr id="2" name="Picture 1">
          <a:hlinkClick xmlns:r="http://schemas.openxmlformats.org/officeDocument/2006/relationships" r:id="rId1"/>
          <a:extLst>
            <a:ext uri="{FF2B5EF4-FFF2-40B4-BE49-F238E27FC236}">
              <a16:creationId xmlns:a16="http://schemas.microsoft.com/office/drawing/2014/main" id="{C89B0D46-04C2-4750-AAC1-AF03320CBFDB}"/>
            </a:ext>
          </a:extLst>
        </xdr:cNvPr>
        <xdr:cNvPicPr>
          <a:picLocks noChangeAspect="1"/>
        </xdr:cNvPicPr>
      </xdr:nvPicPr>
      <xdr:blipFill>
        <a:blip xmlns:r="http://schemas.openxmlformats.org/officeDocument/2006/relationships" r:embed="rId2"/>
        <a:stretch>
          <a:fillRect/>
        </a:stretch>
      </xdr:blipFill>
      <xdr:spPr>
        <a:xfrm>
          <a:off x="4058454" y="0"/>
          <a:ext cx="2008877" cy="613145"/>
        </a:xfrm>
        <a:prstGeom prst="rect">
          <a:avLst/>
        </a:prstGeom>
      </xdr:spPr>
    </xdr:pic>
    <xdr:clientData/>
  </xdr:oneCellAnchor>
  <xdr:twoCellAnchor>
    <xdr:from>
      <xdr:col>3</xdr:col>
      <xdr:colOff>11906</xdr:colOff>
      <xdr:row>0</xdr:row>
      <xdr:rowOff>142875</xdr:rowOff>
    </xdr:from>
    <xdr:to>
      <xdr:col>3</xdr:col>
      <xdr:colOff>2012156</xdr:colOff>
      <xdr:row>0</xdr:row>
      <xdr:rowOff>440531</xdr:rowOff>
    </xdr:to>
    <xdr:grpSp>
      <xdr:nvGrpSpPr>
        <xdr:cNvPr id="3" name="Group 2">
          <a:extLst>
            <a:ext uri="{FF2B5EF4-FFF2-40B4-BE49-F238E27FC236}">
              <a16:creationId xmlns:a16="http://schemas.microsoft.com/office/drawing/2014/main" id="{24EA73F0-E947-4CE6-9082-5A34054D894D}"/>
            </a:ext>
          </a:extLst>
        </xdr:cNvPr>
        <xdr:cNvGrpSpPr/>
      </xdr:nvGrpSpPr>
      <xdr:grpSpPr>
        <a:xfrm>
          <a:off x="1660071" y="142875"/>
          <a:ext cx="0" cy="297656"/>
          <a:chOff x="5417344" y="154781"/>
          <a:chExt cx="2000250" cy="297656"/>
        </a:xfrm>
      </xdr:grpSpPr>
      <xdr:sp macro="" textlink="">
        <xdr:nvSpPr>
          <xdr:cNvPr id="4" name="Rectangle: Rounded Corners 3">
            <a:extLst>
              <a:ext uri="{FF2B5EF4-FFF2-40B4-BE49-F238E27FC236}">
                <a16:creationId xmlns:a16="http://schemas.microsoft.com/office/drawing/2014/main" id="{AFD2D39D-9AAC-470D-A9CD-8C028B00B837}"/>
              </a:ext>
            </a:extLst>
          </xdr:cNvPr>
          <xdr:cNvSpPr/>
        </xdr:nvSpPr>
        <xdr:spPr>
          <a:xfrm>
            <a:off x="5417344" y="154781"/>
            <a:ext cx="2000250" cy="297656"/>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DBB854EE-A5F3-4B2F-8EBE-D7B53E7CC32A}"/>
              </a:ext>
            </a:extLst>
          </xdr:cNvPr>
          <xdr:cNvSpPr/>
        </xdr:nvSpPr>
        <xdr:spPr>
          <a:xfrm>
            <a:off x="5584030" y="238125"/>
            <a:ext cx="547689" cy="130969"/>
          </a:xfrm>
          <a:prstGeom prst="rect">
            <a:avLst/>
          </a:prstGeom>
          <a:solidFill>
            <a:srgbClr val="DECEE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TextBox 5">
            <a:extLst>
              <a:ext uri="{FF2B5EF4-FFF2-40B4-BE49-F238E27FC236}">
                <a16:creationId xmlns:a16="http://schemas.microsoft.com/office/drawing/2014/main" id="{87997987-0ADF-4208-B266-9960C2143AF7}"/>
              </a:ext>
            </a:extLst>
          </xdr:cNvPr>
          <xdr:cNvSpPr txBox="1"/>
        </xdr:nvSpPr>
        <xdr:spPr>
          <a:xfrm>
            <a:off x="6131718" y="166688"/>
            <a:ext cx="118654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rPr>
              <a:t>Dec 2019 Update</a:t>
            </a:r>
          </a:p>
        </xdr:txBody>
      </xdr:sp>
    </xdr:grpSp>
    <xdr:clientData/>
  </xdr:twoCellAnchor>
  <xdr:oneCellAnchor>
    <xdr:from>
      <xdr:col>8</xdr:col>
      <xdr:colOff>3193040</xdr:colOff>
      <xdr:row>0</xdr:row>
      <xdr:rowOff>0</xdr:rowOff>
    </xdr:from>
    <xdr:ext cx="2008877" cy="613145"/>
    <xdr:pic>
      <xdr:nvPicPr>
        <xdr:cNvPr id="7" name="Picture 6">
          <a:hlinkClick xmlns:r="http://schemas.openxmlformats.org/officeDocument/2006/relationships" r:id="rId1"/>
          <a:extLst>
            <a:ext uri="{FF2B5EF4-FFF2-40B4-BE49-F238E27FC236}">
              <a16:creationId xmlns:a16="http://schemas.microsoft.com/office/drawing/2014/main" id="{1B2A3746-BC58-4A5F-8197-1B357F73100E}"/>
            </a:ext>
          </a:extLst>
        </xdr:cNvPr>
        <xdr:cNvPicPr>
          <a:picLocks noChangeAspect="1"/>
        </xdr:cNvPicPr>
      </xdr:nvPicPr>
      <xdr:blipFill>
        <a:blip xmlns:r="http://schemas.openxmlformats.org/officeDocument/2006/relationships" r:embed="rId2"/>
        <a:stretch>
          <a:fillRect/>
        </a:stretch>
      </xdr:blipFill>
      <xdr:spPr>
        <a:xfrm>
          <a:off x="7145915" y="0"/>
          <a:ext cx="2008877" cy="61314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C:\C:\C:\C:\C:\C:\C:\C:\Users\annaforsythe\Desktop\Box%20Sync\PSE%20NETWORK\MBC\MBC%20SLR\C:\aforsythe\Oncology\Lenvatinib\RCC\Pricing\RCC%20pricing%20tab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Monthly Cost Table"/>
      <sheetName val="Sheet3"/>
      <sheetName val="NICE HTA"/>
      <sheetName val="SMC"/>
      <sheetName val="ITC"/>
    </sheetNames>
    <sheetDataSet>
      <sheetData sheetId="0" refreshError="1"/>
      <sheetData sheetId="1"/>
      <sheetData sheetId="2"/>
      <sheetData sheetId="3"/>
      <sheetData sheetId="4"/>
      <sheetData sheetId="5"/>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ln4.sync.com/dl/4dd965bf0/4fctqjbn-w6hhjnz6-g73mkpkk-hqfzwhbe" TargetMode="External"/><Relationship Id="rId18" Type="http://schemas.openxmlformats.org/officeDocument/2006/relationships/hyperlink" Target="https://ln4.sync.com/dl/d162497d0/f38cddrn-2b4jq5jy-3ercnkuz-93hgeae8" TargetMode="External"/><Relationship Id="rId26" Type="http://schemas.openxmlformats.org/officeDocument/2006/relationships/hyperlink" Target="https://ln4.sync.com/dl/c4e09a410/uektg2ri-xr277si4-eww88x63-rbebpnef" TargetMode="External"/><Relationship Id="rId3" Type="http://schemas.openxmlformats.org/officeDocument/2006/relationships/hyperlink" Target="https://ln4.sync.com/dl/a4e998b60/67itf5jb-z3uwknpk-a2h9yiat-ibqu5bbh" TargetMode="External"/><Relationship Id="rId21" Type="http://schemas.openxmlformats.org/officeDocument/2006/relationships/hyperlink" Target="https://ln4.sync.com/dl/df294a100/gzqq4rag-4uch3kzd-bwvy8nc5-5mncpg3h" TargetMode="External"/><Relationship Id="rId7" Type="http://schemas.openxmlformats.org/officeDocument/2006/relationships/hyperlink" Target="https://ln4.sync.com/dl/90dfab6d0/368e52rz-c5za4rz5-2g9n28v6-rz7kz5e3" TargetMode="External"/><Relationship Id="rId12" Type="http://schemas.openxmlformats.org/officeDocument/2006/relationships/hyperlink" Target="https://ln4.sync.com/dl/1a6d26db0/q8pe47fa-5y96rnfh-5urngtq3-yp9qnqsu" TargetMode="External"/><Relationship Id="rId17" Type="http://schemas.openxmlformats.org/officeDocument/2006/relationships/hyperlink" Target="https://ln4.sync.com/dl/ca6d85820/md43htiq-knmzcqcz-3erdpvam-tuqf4hbb" TargetMode="External"/><Relationship Id="rId25" Type="http://schemas.openxmlformats.org/officeDocument/2006/relationships/hyperlink" Target="https://ln4.sync.com/dl/80615e2f0/vnzrrkxc-fej4yt5w-hamq75xn-7un4s7hh" TargetMode="External"/><Relationship Id="rId33" Type="http://schemas.openxmlformats.org/officeDocument/2006/relationships/comments" Target="../comments1.xml"/><Relationship Id="rId2" Type="http://schemas.openxmlformats.org/officeDocument/2006/relationships/hyperlink" Target="https://ln4.sync.com/dl/d40b79940/sc7g52mz-hd75x68k-ve2e5t55-npbht7r9" TargetMode="External"/><Relationship Id="rId16" Type="http://schemas.openxmlformats.org/officeDocument/2006/relationships/hyperlink" Target="https://ln4.sync.com/dl/8b1dc18e0/i7zmnfmn-mncvtpnw-58reub2r-d8j3dt5f" TargetMode="External"/><Relationship Id="rId20" Type="http://schemas.openxmlformats.org/officeDocument/2006/relationships/hyperlink" Target="https://ln4.sync.com/dl/348288d30/drj2v72w-34d32gbp-eef9sixr-7pzsytqd" TargetMode="External"/><Relationship Id="rId29" Type="http://schemas.openxmlformats.org/officeDocument/2006/relationships/hyperlink" Target="https://ln4.sync.com/dl/b3e1f4df0/uuptv4zd-ffsjjb6z-2iadqjzs-sdrd3fxn" TargetMode="External"/><Relationship Id="rId1" Type="http://schemas.openxmlformats.org/officeDocument/2006/relationships/hyperlink" Target="https://ln4.sync.com/dl/619bedee0/g4pbcqmy-5xf8aw8b-7crq4brg-ftpx2ww6" TargetMode="External"/><Relationship Id="rId6" Type="http://schemas.openxmlformats.org/officeDocument/2006/relationships/hyperlink" Target="https://ln4.sync.com/dl/8ca2f0770/ewfcd229-zmgc7yij-2nyfq4nv-5mnuiy6f" TargetMode="External"/><Relationship Id="rId11" Type="http://schemas.openxmlformats.org/officeDocument/2006/relationships/hyperlink" Target="https://ln4.sync.com/dl/ed69c7290/px7wc3a7-ve2jah68-gjtpmwh4-76pqrcjp" TargetMode="External"/><Relationship Id="rId24" Type="http://schemas.openxmlformats.org/officeDocument/2006/relationships/hyperlink" Target="https://ln4.sync.com/dl/2ee7bcdc0/7k5gmdh7-depqcym3-n3rr6ynx-bypk4heq" TargetMode="External"/><Relationship Id="rId32" Type="http://schemas.openxmlformats.org/officeDocument/2006/relationships/vmlDrawing" Target="../drawings/vmlDrawing1.vml"/><Relationship Id="rId5" Type="http://schemas.openxmlformats.org/officeDocument/2006/relationships/hyperlink" Target="https://ln4.sync.com/dl/fe2516570/wyjjwrdc-x4sjnnjk-fvfgavtu-mfspmuya" TargetMode="External"/><Relationship Id="rId15" Type="http://schemas.openxmlformats.org/officeDocument/2006/relationships/hyperlink" Target="https://ln4.sync.com/dl/235ab7fe0/wc4hauhh-h5pmd9z5-xvg3tdv9-983u8gq5" TargetMode="External"/><Relationship Id="rId23" Type="http://schemas.openxmlformats.org/officeDocument/2006/relationships/hyperlink" Target="https://ln4.sync.com/dl/3cb3ab400/vmrntqvv-a72kzp43-uxtzj895-mi69e4ut" TargetMode="External"/><Relationship Id="rId28" Type="http://schemas.openxmlformats.org/officeDocument/2006/relationships/hyperlink" Target="https://ln4.sync.com/dl/c4e09a410/uektg2ri-xr277si4-eww88x63-rbebpnef" TargetMode="External"/><Relationship Id="rId10" Type="http://schemas.openxmlformats.org/officeDocument/2006/relationships/hyperlink" Target="https://ln4.sync.com/dl/d16861680/xp33fd89-6itpk55d-u8xyzttk-xm4br569" TargetMode="External"/><Relationship Id="rId19" Type="http://schemas.openxmlformats.org/officeDocument/2006/relationships/hyperlink" Target="https://ln4.sync.com/dl/4e18b2350/nb42jsti-kw5hz7zs-inyj3zm3-qee8ixnz" TargetMode="External"/><Relationship Id="rId31" Type="http://schemas.openxmlformats.org/officeDocument/2006/relationships/printerSettings" Target="../printerSettings/printerSettings1.bin"/><Relationship Id="rId4" Type="http://schemas.openxmlformats.org/officeDocument/2006/relationships/hyperlink" Target="https://ln4.sync.com/dl/547c92d70/6drcnbzq-ujaw64qm-bia8ebva-uaua6sfy" TargetMode="External"/><Relationship Id="rId9" Type="http://schemas.openxmlformats.org/officeDocument/2006/relationships/hyperlink" Target="https://ln4.sync.com/dl/01a9312f0/xvm26prk-fee85b6r-addnicny-6w5ag6vp" TargetMode="External"/><Relationship Id="rId14" Type="http://schemas.openxmlformats.org/officeDocument/2006/relationships/hyperlink" Target="https://ln4.sync.com/dl/b132a28c0/wyjvtgih-z6hcf33v-9n5gjrzz-pz8zw9iq" TargetMode="External"/><Relationship Id="rId22" Type="http://schemas.openxmlformats.org/officeDocument/2006/relationships/hyperlink" Target="https://ln4.sync.com/dl/ad1c0a780/4rx24pyr-ww9kssq9-xbem2cei-ecfsiftt" TargetMode="External"/><Relationship Id="rId27" Type="http://schemas.openxmlformats.org/officeDocument/2006/relationships/hyperlink" Target="https://ln4.sync.com/dl/c4e09a410/uektg2ri-xr277si4-eww88x63-rbebpnef" TargetMode="External"/><Relationship Id="rId30" Type="http://schemas.openxmlformats.org/officeDocument/2006/relationships/hyperlink" Target="https://ln4.sync.com/dl/9aaa962c0/qaswbpmz-yna7vw3x-z3vbifik-5m5qkwte" TargetMode="External"/><Relationship Id="rId8" Type="http://schemas.openxmlformats.org/officeDocument/2006/relationships/hyperlink" Target="https://ln4.sync.com/dl/94022d2e0/xe5r8mwa-2kfkissj-bf7vi9rw-tdgkhg6n"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U136"/>
  <sheetViews>
    <sheetView tabSelected="1" zoomScale="80" zoomScaleNormal="80" workbookViewId="0">
      <pane xSplit="5" ySplit="5" topLeftCell="CT77" activePane="bottomRight" state="frozen"/>
      <selection pane="topRight" activeCell="E1" sqref="E1"/>
      <selection pane="bottomLeft" activeCell="A5" sqref="A5"/>
      <selection pane="bottomRight" activeCell="CS113" sqref="CS113:CS116"/>
    </sheetView>
  </sheetViews>
  <sheetFormatPr defaultColWidth="12.75" defaultRowHeight="15" customHeight="1"/>
  <cols>
    <col min="1" max="1" width="9.625" customWidth="1"/>
    <col min="2" max="4" width="6.5" customWidth="1"/>
    <col min="5" max="5" width="21" style="367" customWidth="1"/>
    <col min="6" max="6" width="9.5" customWidth="1"/>
    <col min="7" max="7" width="19.5" customWidth="1"/>
    <col min="8" max="8" width="14.875" customWidth="1"/>
    <col min="9" max="9" width="9.5" customWidth="1"/>
    <col min="10" max="10" width="15.75" customWidth="1"/>
    <col min="11" max="11" width="11.75" style="365" customWidth="1"/>
    <col min="12" max="12" width="10.75" style="1" customWidth="1"/>
    <col min="13" max="13" width="8.75" customWidth="1"/>
    <col min="14" max="14" width="18.875" customWidth="1"/>
    <col min="15" max="15" width="14.25" customWidth="1"/>
    <col min="16" max="16" width="37.125" customWidth="1"/>
    <col min="17" max="17" width="15.75" customWidth="1"/>
    <col min="18" max="18" width="7.25" customWidth="1"/>
    <col min="19" max="19" width="10.75" customWidth="1"/>
    <col min="20" max="20" width="19.25" customWidth="1"/>
    <col min="21" max="22" width="13.75" customWidth="1"/>
    <col min="23" max="23" width="9.75" customWidth="1"/>
    <col min="24" max="24" width="5.75" customWidth="1"/>
    <col min="25" max="29" width="7.5" customWidth="1"/>
    <col min="30" max="30" width="8.75" customWidth="1"/>
    <col min="31" max="31" width="7.5" customWidth="1"/>
    <col min="32" max="32" width="9.75" customWidth="1"/>
    <col min="33" max="33" width="7.5" customWidth="1"/>
    <col min="34" max="34" width="8.75" customWidth="1"/>
    <col min="35" max="35" width="18.25" customWidth="1"/>
    <col min="36" max="36" width="12.5" customWidth="1"/>
    <col min="37" max="38" width="14.25" customWidth="1"/>
    <col min="39" max="39" width="5.5" customWidth="1"/>
    <col min="40" max="41" width="5.75" customWidth="1"/>
    <col min="42" max="42" width="16.375" customWidth="1"/>
    <col min="43" max="45" width="12.5" customWidth="1"/>
    <col min="46" max="46" width="15.875" customWidth="1"/>
    <col min="47" max="47" width="5.75" customWidth="1"/>
    <col min="48" max="48" width="7.5" customWidth="1"/>
    <col min="49" max="49" width="6.75" customWidth="1"/>
    <col min="50" max="50" width="5.25" customWidth="1"/>
    <col min="51" max="51" width="5.75" customWidth="1"/>
    <col min="52" max="52" width="11.75" customWidth="1"/>
    <col min="53" max="54" width="7.25" customWidth="1"/>
    <col min="55" max="55" width="8.25" customWidth="1"/>
    <col min="56" max="56" width="7.25" customWidth="1"/>
    <col min="57" max="58" width="7.5" customWidth="1"/>
    <col min="59" max="59" width="5.75" customWidth="1"/>
    <col min="60" max="60" width="7.5" customWidth="1"/>
    <col min="61" max="61" width="6.75" customWidth="1"/>
    <col min="62" max="62" width="5.5" customWidth="1"/>
    <col min="63" max="63" width="6.25" customWidth="1"/>
    <col min="64" max="64" width="7.25" customWidth="1"/>
    <col min="65" max="66" width="7.5" customWidth="1"/>
    <col min="67" max="67" width="10.75" customWidth="1"/>
    <col min="68" max="71" width="7.5" customWidth="1"/>
    <col min="72" max="72" width="5.75" customWidth="1"/>
    <col min="73" max="78" width="7.5" customWidth="1"/>
    <col min="79" max="79" width="9.75" customWidth="1"/>
    <col min="80" max="84" width="8.25" customWidth="1"/>
    <col min="85" max="87" width="7.5" customWidth="1"/>
    <col min="88" max="89" width="5.75" customWidth="1"/>
    <col min="90" max="90" width="7.5" customWidth="1"/>
    <col min="91" max="92" width="5.75" customWidth="1"/>
    <col min="93" max="93" width="7.5" customWidth="1"/>
    <col min="94" max="94" width="16.625" customWidth="1"/>
    <col min="95" max="96" width="7.5" customWidth="1"/>
    <col min="97" max="98" width="22.25" customWidth="1"/>
    <col min="99" max="100" width="10.75" customWidth="1"/>
    <col min="101" max="101" width="14.75" customWidth="1"/>
    <col min="102" max="102" width="18.75" customWidth="1"/>
    <col min="103" max="103" width="15.75" customWidth="1"/>
    <col min="104" max="104" width="10.75" customWidth="1"/>
    <col min="105" max="105" width="6.5" customWidth="1"/>
    <col min="106" max="106" width="8.25" customWidth="1"/>
    <col min="107" max="107" width="10.75" customWidth="1"/>
    <col min="108" max="108" width="22.75" customWidth="1"/>
    <col min="109" max="109" width="26.375" customWidth="1"/>
    <col min="110" max="110" width="17" customWidth="1"/>
    <col min="111" max="111" width="13.5" customWidth="1"/>
    <col min="112" max="112" width="17.75" customWidth="1"/>
    <col min="113" max="114" width="22.875" customWidth="1"/>
    <col min="115" max="115" width="20.75" customWidth="1"/>
  </cols>
  <sheetData>
    <row r="1" spans="1:151" s="420" customFormat="1">
      <c r="A1" s="408" t="s">
        <v>241</v>
      </c>
      <c r="B1" s="409"/>
      <c r="C1" s="409"/>
      <c r="D1" s="410"/>
      <c r="E1" s="409"/>
      <c r="F1" s="409"/>
      <c r="G1" s="409"/>
      <c r="H1" s="409"/>
      <c r="I1" s="409"/>
      <c r="J1" s="409"/>
      <c r="K1" s="409"/>
      <c r="L1" s="409"/>
      <c r="M1" s="409"/>
      <c r="N1" s="409"/>
      <c r="O1" s="409"/>
      <c r="P1" s="409"/>
      <c r="Q1" s="409"/>
      <c r="R1" s="409"/>
      <c r="S1" s="409"/>
      <c r="T1" s="409"/>
      <c r="U1" s="409"/>
      <c r="V1" s="409"/>
      <c r="W1" s="409"/>
      <c r="X1" s="409"/>
      <c r="Y1" s="409"/>
      <c r="Z1" s="409"/>
      <c r="AA1" s="409"/>
      <c r="AB1" s="409"/>
      <c r="AC1" s="409"/>
      <c r="AD1" s="409"/>
      <c r="AE1" s="409"/>
      <c r="AF1" s="478"/>
      <c r="AG1" s="478"/>
      <c r="AH1" s="478"/>
      <c r="AI1" s="478"/>
      <c r="AJ1" s="411" t="s">
        <v>2637</v>
      </c>
      <c r="AK1" s="411"/>
      <c r="AL1" s="411"/>
      <c r="AM1" s="411"/>
      <c r="AN1" s="411"/>
      <c r="AO1" s="411"/>
      <c r="AP1" s="412"/>
      <c r="AQ1" s="412"/>
      <c r="AR1" s="412"/>
      <c r="AS1" s="412"/>
      <c r="AT1" s="412"/>
      <c r="AU1" s="412"/>
      <c r="AV1" s="412"/>
      <c r="AW1" s="412"/>
      <c r="AX1" s="412"/>
      <c r="AY1" s="412"/>
      <c r="AZ1" s="412"/>
      <c r="BA1" s="412"/>
      <c r="BB1" s="412"/>
      <c r="BC1" s="412"/>
      <c r="BD1" s="412"/>
      <c r="BE1" s="412"/>
      <c r="BF1" s="412"/>
      <c r="BG1" s="412"/>
      <c r="BH1" s="412"/>
      <c r="BI1" s="412"/>
      <c r="BJ1" s="412"/>
      <c r="BK1" s="412"/>
      <c r="BL1" s="412"/>
      <c r="BM1" s="412"/>
      <c r="BN1" s="412"/>
      <c r="BO1" s="412"/>
      <c r="BP1" s="412"/>
      <c r="BQ1" s="412"/>
      <c r="BR1" s="412"/>
      <c r="BS1" s="412"/>
      <c r="BT1" s="412"/>
      <c r="BU1" s="413"/>
      <c r="BV1" s="413"/>
      <c r="BW1" s="413"/>
      <c r="BX1" s="413"/>
      <c r="BY1" s="413"/>
      <c r="BZ1" s="413"/>
      <c r="CA1" s="413"/>
      <c r="CB1" s="413"/>
      <c r="CC1" s="413"/>
      <c r="CD1" s="413"/>
      <c r="CE1" s="411"/>
      <c r="CF1" s="411"/>
      <c r="CG1" s="411"/>
      <c r="CH1" s="411"/>
      <c r="CI1" s="411"/>
      <c r="CJ1" s="411"/>
      <c r="CK1" s="411"/>
      <c r="CL1" s="411"/>
      <c r="CM1" s="414" t="s">
        <v>2662</v>
      </c>
      <c r="CN1" s="415"/>
      <c r="CO1" s="415"/>
      <c r="CP1" s="415"/>
      <c r="CQ1" s="415"/>
      <c r="CR1" s="415"/>
      <c r="CS1" s="415"/>
      <c r="CT1" s="416" t="s">
        <v>2660</v>
      </c>
      <c r="CU1" s="417"/>
      <c r="CV1" s="417"/>
      <c r="CW1" s="417"/>
      <c r="CX1" s="417"/>
      <c r="CY1" s="417"/>
      <c r="CZ1" s="417"/>
      <c r="DA1" s="417"/>
      <c r="DB1" s="417"/>
      <c r="DC1" s="417"/>
      <c r="DD1" s="417"/>
      <c r="DE1" s="417"/>
      <c r="DF1" s="417"/>
      <c r="DG1" s="418" t="s">
        <v>3162</v>
      </c>
      <c r="DH1" s="419"/>
      <c r="DI1" s="419"/>
      <c r="DJ1" s="419"/>
      <c r="DK1" s="419"/>
      <c r="DL1" s="419"/>
      <c r="DM1" s="419"/>
      <c r="DN1" s="419"/>
      <c r="DO1" s="419"/>
      <c r="DP1" s="419"/>
      <c r="DQ1" s="419"/>
      <c r="DR1" s="419"/>
      <c r="DS1" s="419"/>
      <c r="DT1" s="419"/>
      <c r="DU1" s="419"/>
      <c r="DV1" s="419"/>
      <c r="DW1" s="419"/>
      <c r="DX1" s="419"/>
      <c r="DY1" s="419"/>
      <c r="DZ1" s="419"/>
      <c r="EA1" s="419"/>
      <c r="EB1" s="419"/>
      <c r="EC1" s="419"/>
      <c r="ED1" s="419"/>
      <c r="EE1" s="419"/>
      <c r="EF1" s="419"/>
      <c r="EG1" s="419"/>
      <c r="EH1" s="419"/>
      <c r="EI1" s="419"/>
      <c r="EJ1" s="419"/>
      <c r="EK1" s="419"/>
      <c r="EL1" s="419"/>
      <c r="EM1" s="419"/>
      <c r="EN1" s="419"/>
      <c r="EO1" s="419"/>
      <c r="EP1" s="419"/>
      <c r="EQ1" s="419"/>
      <c r="ER1" s="419"/>
      <c r="ES1" s="419"/>
      <c r="ET1" s="419"/>
      <c r="EU1" s="419"/>
    </row>
    <row r="2" spans="1:151" s="420" customFormat="1" ht="15" customHeight="1">
      <c r="A2" s="421" t="s">
        <v>221</v>
      </c>
      <c r="B2" s="422"/>
      <c r="C2" s="422"/>
      <c r="D2" s="423"/>
      <c r="E2" s="422"/>
      <c r="F2" s="422"/>
      <c r="G2" s="422"/>
      <c r="H2" s="422"/>
      <c r="I2" s="422"/>
      <c r="J2" s="422"/>
      <c r="K2" s="422"/>
      <c r="L2" s="422"/>
      <c r="M2" s="422"/>
      <c r="N2" s="422"/>
      <c r="O2" s="422"/>
      <c r="P2" s="422"/>
      <c r="Q2" s="422"/>
      <c r="R2" s="422"/>
      <c r="S2" s="422"/>
      <c r="T2" s="422"/>
      <c r="U2" s="422"/>
      <c r="V2" s="422"/>
      <c r="W2" s="424" t="s">
        <v>3163</v>
      </c>
      <c r="X2" s="425"/>
      <c r="Y2" s="425"/>
      <c r="Z2" s="425"/>
      <c r="AA2" s="425"/>
      <c r="AB2" s="425"/>
      <c r="AC2" s="425"/>
      <c r="AD2" s="425"/>
      <c r="AE2" s="425"/>
      <c r="AF2" s="425"/>
      <c r="AG2" s="425"/>
      <c r="AH2" s="425"/>
      <c r="AI2" s="425"/>
      <c r="AJ2" s="426" t="s">
        <v>2636</v>
      </c>
      <c r="AK2" s="426"/>
      <c r="AL2" s="426"/>
      <c r="AM2" s="426"/>
      <c r="AN2" s="426"/>
      <c r="AO2" s="426"/>
      <c r="AP2" s="427" t="s">
        <v>1972</v>
      </c>
      <c r="AQ2" s="427"/>
      <c r="AR2" s="427"/>
      <c r="AS2" s="427"/>
      <c r="AT2" s="427"/>
      <c r="AU2" s="427"/>
      <c r="AV2" s="427"/>
      <c r="AW2" s="427"/>
      <c r="AX2" s="427"/>
      <c r="AY2" s="428"/>
      <c r="AZ2" s="428"/>
      <c r="BA2" s="427"/>
      <c r="BB2" s="427"/>
      <c r="BC2" s="427"/>
      <c r="BD2" s="427"/>
      <c r="BE2" s="427"/>
      <c r="BF2" s="427"/>
      <c r="BG2" s="427"/>
      <c r="BH2" s="427"/>
      <c r="BI2" s="427"/>
      <c r="BJ2" s="427"/>
      <c r="BK2" s="427"/>
      <c r="BL2" s="427"/>
      <c r="BM2" s="427"/>
      <c r="BN2" s="427"/>
      <c r="BO2" s="427"/>
      <c r="BP2" s="427"/>
      <c r="BQ2" s="427"/>
      <c r="BR2" s="427"/>
      <c r="BS2" s="427"/>
      <c r="BT2" s="427"/>
      <c r="BU2" s="429" t="s">
        <v>230</v>
      </c>
      <c r="BV2" s="430"/>
      <c r="BW2" s="430"/>
      <c r="BX2" s="430"/>
      <c r="BY2" s="430"/>
      <c r="BZ2" s="430"/>
      <c r="CA2" s="430"/>
      <c r="CB2" s="430"/>
      <c r="CC2" s="430"/>
      <c r="CD2" s="430"/>
      <c r="CE2" s="431" t="s">
        <v>232</v>
      </c>
      <c r="CF2" s="432"/>
      <c r="CG2" s="432"/>
      <c r="CH2" s="432"/>
      <c r="CI2" s="432"/>
      <c r="CJ2" s="432"/>
      <c r="CK2" s="432"/>
      <c r="CL2" s="432"/>
      <c r="CM2" s="433" t="s">
        <v>2663</v>
      </c>
      <c r="CN2" s="434"/>
      <c r="CO2" s="434"/>
      <c r="CP2" s="434"/>
      <c r="CQ2" s="435" t="s">
        <v>455</v>
      </c>
      <c r="CR2" s="436"/>
      <c r="CS2" s="437" t="s">
        <v>2017</v>
      </c>
      <c r="CT2" s="438" t="s">
        <v>2661</v>
      </c>
      <c r="CU2" s="438"/>
      <c r="CV2" s="438"/>
      <c r="CW2" s="438"/>
      <c r="CX2" s="439" t="s">
        <v>3164</v>
      </c>
      <c r="CY2" s="440"/>
      <c r="CZ2" s="440"/>
      <c r="DA2" s="440"/>
      <c r="DB2" s="440"/>
      <c r="DC2" s="439"/>
      <c r="DD2" s="440"/>
      <c r="DE2" s="440"/>
      <c r="DF2" s="440"/>
      <c r="DG2" s="441" t="s">
        <v>3165</v>
      </c>
      <c r="DH2" s="442"/>
      <c r="DI2" s="442"/>
      <c r="DJ2" s="442"/>
      <c r="DK2" s="443" t="s">
        <v>3166</v>
      </c>
      <c r="DL2" s="443"/>
      <c r="DM2" s="427" t="s">
        <v>1972</v>
      </c>
      <c r="DN2" s="427"/>
      <c r="DO2" s="427"/>
      <c r="DP2" s="427"/>
      <c r="DQ2" s="427"/>
      <c r="DR2" s="427"/>
      <c r="DS2" s="427"/>
      <c r="DT2" s="427"/>
      <c r="DU2" s="427"/>
      <c r="DV2" s="427"/>
      <c r="DW2" s="427"/>
      <c r="DX2" s="427"/>
      <c r="DY2" s="427"/>
      <c r="DZ2" s="427"/>
      <c r="EA2" s="427"/>
      <c r="EB2" s="427"/>
      <c r="EC2" s="427"/>
      <c r="ED2" s="427"/>
      <c r="EE2" s="427"/>
      <c r="EF2" s="427"/>
      <c r="EG2" s="427"/>
      <c r="EH2" s="427"/>
      <c r="EI2" s="427"/>
      <c r="EJ2" s="427"/>
      <c r="EK2" s="444" t="s">
        <v>230</v>
      </c>
      <c r="EL2" s="444"/>
      <c r="EM2" s="444"/>
      <c r="EN2" s="444"/>
      <c r="EO2" s="444"/>
      <c r="EP2" s="444"/>
      <c r="EQ2" s="444"/>
      <c r="ER2" s="445" t="s">
        <v>232</v>
      </c>
      <c r="ES2" s="446"/>
      <c r="ET2" s="446"/>
      <c r="EU2" s="446"/>
    </row>
    <row r="3" spans="1:151" s="420" customFormat="1">
      <c r="A3" s="421"/>
      <c r="B3" s="422"/>
      <c r="C3" s="422"/>
      <c r="D3" s="423"/>
      <c r="E3" s="422"/>
      <c r="F3" s="422"/>
      <c r="G3" s="422"/>
      <c r="H3" s="422"/>
      <c r="I3" s="422"/>
      <c r="J3" s="422"/>
      <c r="K3" s="422"/>
      <c r="L3" s="422"/>
      <c r="M3" s="422"/>
      <c r="N3" s="422"/>
      <c r="O3" s="422"/>
      <c r="P3" s="422"/>
      <c r="Q3" s="422"/>
      <c r="R3" s="422"/>
      <c r="S3" s="422"/>
      <c r="T3" s="422"/>
      <c r="U3" s="422"/>
      <c r="V3" s="422"/>
      <c r="W3" s="447"/>
      <c r="X3" s="448"/>
      <c r="Y3" s="448"/>
      <c r="Z3" s="448"/>
      <c r="AA3" s="448"/>
      <c r="AB3" s="448"/>
      <c r="AC3" s="448"/>
      <c r="AD3" s="448"/>
      <c r="AE3" s="448"/>
      <c r="AF3" s="448"/>
      <c r="AG3" s="448"/>
      <c r="AH3" s="448"/>
      <c r="AI3" s="448"/>
      <c r="AJ3" s="449"/>
      <c r="AK3" s="449"/>
      <c r="AL3" s="449"/>
      <c r="AM3" s="449"/>
      <c r="AN3" s="449"/>
      <c r="AO3" s="449"/>
      <c r="AP3" s="450" t="s">
        <v>3167</v>
      </c>
      <c r="AQ3" s="450"/>
      <c r="AR3" s="450"/>
      <c r="AS3" s="450"/>
      <c r="AT3" s="450"/>
      <c r="AU3" s="450"/>
      <c r="AV3" s="450"/>
      <c r="AW3" s="450"/>
      <c r="AX3" s="450"/>
      <c r="AY3" s="450"/>
      <c r="AZ3" s="450"/>
      <c r="BA3" s="451" t="s">
        <v>3168</v>
      </c>
      <c r="BB3" s="451"/>
      <c r="BC3" s="451"/>
      <c r="BD3" s="451"/>
      <c r="BE3" s="451"/>
      <c r="BF3" s="451"/>
      <c r="BG3" s="451"/>
      <c r="BH3" s="451"/>
      <c r="BI3" s="451"/>
      <c r="BJ3" s="451"/>
      <c r="BK3" s="451"/>
      <c r="BL3" s="451"/>
      <c r="BM3" s="451"/>
      <c r="BN3" s="451"/>
      <c r="BO3" s="451"/>
      <c r="BP3" s="451"/>
      <c r="BQ3" s="451"/>
      <c r="BR3" s="451"/>
      <c r="BS3" s="451"/>
      <c r="BT3" s="451"/>
      <c r="BU3" s="452"/>
      <c r="BV3" s="453"/>
      <c r="BW3" s="453"/>
      <c r="BX3" s="453"/>
      <c r="BY3" s="453"/>
      <c r="BZ3" s="453"/>
      <c r="CA3" s="453"/>
      <c r="CB3" s="453"/>
      <c r="CC3" s="453"/>
      <c r="CD3" s="453"/>
      <c r="CE3" s="454"/>
      <c r="CF3" s="455"/>
      <c r="CG3" s="455"/>
      <c r="CH3" s="455"/>
      <c r="CI3" s="455"/>
      <c r="CJ3" s="455"/>
      <c r="CK3" s="455"/>
      <c r="CL3" s="455"/>
      <c r="CM3" s="456"/>
      <c r="CN3" s="457"/>
      <c r="CO3" s="457"/>
      <c r="CP3" s="457"/>
      <c r="CQ3" s="458"/>
      <c r="CR3" s="459"/>
      <c r="CS3" s="460"/>
      <c r="CT3" s="461"/>
      <c r="CU3" s="461"/>
      <c r="CV3" s="461"/>
      <c r="CW3" s="461"/>
      <c r="CX3" s="462" t="s">
        <v>2638</v>
      </c>
      <c r="CY3" s="463"/>
      <c r="CZ3" s="463"/>
      <c r="DA3" s="463"/>
      <c r="DB3" s="463"/>
      <c r="DC3" s="464" t="s">
        <v>2639</v>
      </c>
      <c r="DD3" s="465"/>
      <c r="DE3" s="465"/>
      <c r="DF3" s="465"/>
      <c r="DG3" s="466"/>
      <c r="DH3" s="467"/>
      <c r="DI3" s="467"/>
      <c r="DJ3" s="467"/>
      <c r="DK3" s="465"/>
      <c r="DL3" s="465"/>
      <c r="DM3" s="450" t="s">
        <v>3169</v>
      </c>
      <c r="DN3" s="450"/>
      <c r="DO3" s="450"/>
      <c r="DP3" s="450"/>
      <c r="DQ3" s="450"/>
      <c r="DR3" s="450"/>
      <c r="DS3" s="450"/>
      <c r="DT3" s="450"/>
      <c r="DU3" s="450"/>
      <c r="DV3" s="450"/>
      <c r="DW3" s="450"/>
      <c r="DX3" s="451" t="s">
        <v>3168</v>
      </c>
      <c r="DY3" s="451"/>
      <c r="DZ3" s="451"/>
      <c r="EA3" s="451"/>
      <c r="EB3" s="451"/>
      <c r="EC3" s="451"/>
      <c r="ED3" s="451"/>
      <c r="EE3" s="451"/>
      <c r="EF3" s="451"/>
      <c r="EG3" s="451"/>
      <c r="EH3" s="482"/>
      <c r="EI3" s="482"/>
      <c r="EJ3" s="482"/>
      <c r="EK3" s="468"/>
      <c r="EL3" s="469"/>
      <c r="EM3" s="469"/>
      <c r="EN3" s="469"/>
      <c r="EO3" s="469"/>
      <c r="EP3" s="469"/>
      <c r="EQ3" s="469"/>
      <c r="ER3" s="470"/>
      <c r="ES3" s="471"/>
      <c r="ET3" s="471"/>
      <c r="EU3" s="471"/>
    </row>
    <row r="4" spans="1:151" s="473" customFormat="1" ht="12">
      <c r="A4" s="472" t="s">
        <v>3170</v>
      </c>
      <c r="B4" s="472" t="s">
        <v>3171</v>
      </c>
      <c r="C4" s="472" t="s">
        <v>3172</v>
      </c>
      <c r="D4" s="472" t="s">
        <v>3173</v>
      </c>
      <c r="E4" s="472" t="s">
        <v>3174</v>
      </c>
      <c r="F4" s="472" t="s">
        <v>3175</v>
      </c>
      <c r="G4" s="472" t="s">
        <v>3176</v>
      </c>
      <c r="H4" s="472" t="s">
        <v>3177</v>
      </c>
      <c r="I4" s="472" t="s">
        <v>3178</v>
      </c>
      <c r="J4" s="472" t="s">
        <v>3179</v>
      </c>
      <c r="K4" s="472" t="s">
        <v>3180</v>
      </c>
      <c r="L4" s="472" t="s">
        <v>3181</v>
      </c>
      <c r="M4" s="472" t="s">
        <v>3182</v>
      </c>
      <c r="N4" s="472" t="s">
        <v>3183</v>
      </c>
      <c r="O4" s="472" t="s">
        <v>3184</v>
      </c>
      <c r="P4" s="472" t="s">
        <v>3185</v>
      </c>
      <c r="Q4" s="472" t="s">
        <v>3186</v>
      </c>
      <c r="R4" s="472" t="s">
        <v>3187</v>
      </c>
      <c r="S4" s="472" t="s">
        <v>3188</v>
      </c>
      <c r="T4" s="472" t="s">
        <v>3189</v>
      </c>
      <c r="U4" s="472" t="s">
        <v>3189</v>
      </c>
      <c r="V4" s="472" t="s">
        <v>3189</v>
      </c>
      <c r="W4" s="472" t="s">
        <v>3190</v>
      </c>
      <c r="X4" s="472" t="s">
        <v>3191</v>
      </c>
      <c r="Y4" s="472" t="s">
        <v>3192</v>
      </c>
      <c r="Z4" s="472" t="s">
        <v>3193</v>
      </c>
      <c r="AA4" s="472" t="s">
        <v>3194</v>
      </c>
      <c r="AB4" s="472" t="s">
        <v>3195</v>
      </c>
      <c r="AC4" s="472" t="s">
        <v>3196</v>
      </c>
      <c r="AD4" s="472" t="s">
        <v>3197</v>
      </c>
      <c r="AE4" s="472" t="s">
        <v>3198</v>
      </c>
      <c r="AF4" s="472" t="s">
        <v>3198</v>
      </c>
      <c r="AG4" s="472" t="s">
        <v>3198</v>
      </c>
      <c r="AH4" s="472" t="s">
        <v>3198</v>
      </c>
      <c r="AI4" s="472" t="s">
        <v>3198</v>
      </c>
      <c r="AJ4" s="472" t="s">
        <v>3199</v>
      </c>
      <c r="AK4" s="472" t="s">
        <v>3307</v>
      </c>
      <c r="AL4" s="472" t="s">
        <v>3307</v>
      </c>
      <c r="AM4" s="472" t="s">
        <v>3307</v>
      </c>
      <c r="AN4" s="472" t="s">
        <v>3307</v>
      </c>
      <c r="AO4" s="472" t="s">
        <v>3307</v>
      </c>
      <c r="AP4" s="472" t="s">
        <v>3200</v>
      </c>
      <c r="AQ4" s="472" t="s">
        <v>3201</v>
      </c>
      <c r="AR4" s="472" t="s">
        <v>3202</v>
      </c>
      <c r="AS4" s="472" t="s">
        <v>3203</v>
      </c>
      <c r="AT4" s="472" t="s">
        <v>3204</v>
      </c>
      <c r="AU4" s="472" t="s">
        <v>3205</v>
      </c>
      <c r="AV4" s="472" t="s">
        <v>3206</v>
      </c>
      <c r="AW4" s="472" t="s">
        <v>3207</v>
      </c>
      <c r="AX4" s="472" t="s">
        <v>3208</v>
      </c>
      <c r="AY4" s="472" t="s">
        <v>3209</v>
      </c>
      <c r="AZ4" s="472" t="s">
        <v>3209</v>
      </c>
      <c r="BA4" s="472" t="s">
        <v>3210</v>
      </c>
      <c r="BB4" s="472" t="s">
        <v>3211</v>
      </c>
      <c r="BC4" s="472" t="s">
        <v>3212</v>
      </c>
      <c r="BD4" s="472" t="s">
        <v>3213</v>
      </c>
      <c r="BE4" s="472" t="s">
        <v>3214</v>
      </c>
      <c r="BF4" s="472" t="s">
        <v>3215</v>
      </c>
      <c r="BG4" s="472" t="s">
        <v>3216</v>
      </c>
      <c r="BH4" s="472" t="s">
        <v>3217</v>
      </c>
      <c r="BI4" s="472" t="s">
        <v>3218</v>
      </c>
      <c r="BJ4" s="472" t="s">
        <v>3219</v>
      </c>
      <c r="BK4" s="472" t="s">
        <v>3220</v>
      </c>
      <c r="BL4" s="472" t="s">
        <v>3220</v>
      </c>
      <c r="BM4" s="472" t="s">
        <v>3220</v>
      </c>
      <c r="BN4" s="472" t="s">
        <v>3220</v>
      </c>
      <c r="BO4" s="472" t="s">
        <v>3220</v>
      </c>
      <c r="BP4" s="472" t="s">
        <v>3220</v>
      </c>
      <c r="BQ4" s="472" t="s">
        <v>3220</v>
      </c>
      <c r="BR4" s="472" t="s">
        <v>3220</v>
      </c>
      <c r="BS4" s="472" t="s">
        <v>3220</v>
      </c>
      <c r="BT4" s="472" t="s">
        <v>3220</v>
      </c>
      <c r="BU4" s="472" t="s">
        <v>3221</v>
      </c>
      <c r="BV4" s="472" t="s">
        <v>3222</v>
      </c>
      <c r="BW4" s="472" t="s">
        <v>3223</v>
      </c>
      <c r="BX4" s="472" t="s">
        <v>3224</v>
      </c>
      <c r="BY4" s="472" t="s">
        <v>3225</v>
      </c>
      <c r="BZ4" s="472" t="s">
        <v>3226</v>
      </c>
      <c r="CA4" s="472" t="s">
        <v>3227</v>
      </c>
      <c r="CB4" s="472" t="s">
        <v>3228</v>
      </c>
      <c r="CC4" s="472" t="s">
        <v>3228</v>
      </c>
      <c r="CD4" s="472" t="s">
        <v>3228</v>
      </c>
      <c r="CE4" s="472" t="s">
        <v>3229</v>
      </c>
      <c r="CF4" s="472" t="s">
        <v>3230</v>
      </c>
      <c r="CG4" s="472" t="s">
        <v>3231</v>
      </c>
      <c r="CH4" s="472" t="s">
        <v>3232</v>
      </c>
      <c r="CI4" s="472" t="s">
        <v>3233</v>
      </c>
      <c r="CJ4" s="472" t="s">
        <v>3233</v>
      </c>
      <c r="CK4" s="472" t="s">
        <v>3233</v>
      </c>
      <c r="CL4" s="472" t="s">
        <v>3233</v>
      </c>
      <c r="CM4" s="472" t="s">
        <v>3234</v>
      </c>
      <c r="CN4" s="472" t="s">
        <v>3235</v>
      </c>
      <c r="CO4" s="472" t="s">
        <v>3236</v>
      </c>
      <c r="CP4" s="472" t="s">
        <v>3237</v>
      </c>
      <c r="CQ4" s="472" t="s">
        <v>3238</v>
      </c>
      <c r="CR4" s="472" t="s">
        <v>3239</v>
      </c>
      <c r="CS4" s="472" t="s">
        <v>3240</v>
      </c>
      <c r="CT4" s="472" t="s">
        <v>3241</v>
      </c>
      <c r="CU4" s="472" t="s">
        <v>3242</v>
      </c>
      <c r="CV4" s="472" t="s">
        <v>3243</v>
      </c>
      <c r="CW4" s="472" t="s">
        <v>3244</v>
      </c>
      <c r="CX4" s="472" t="s">
        <v>3245</v>
      </c>
      <c r="CY4" s="472" t="s">
        <v>3246</v>
      </c>
      <c r="CZ4" s="472" t="s">
        <v>3247</v>
      </c>
      <c r="DA4" s="472" t="s">
        <v>3248</v>
      </c>
      <c r="DB4" s="472" t="s">
        <v>3249</v>
      </c>
      <c r="DC4" s="472" t="s">
        <v>3250</v>
      </c>
      <c r="DD4" s="472" t="s">
        <v>3251</v>
      </c>
      <c r="DE4" s="472" t="s">
        <v>3252</v>
      </c>
      <c r="DF4" s="472" t="s">
        <v>3253</v>
      </c>
      <c r="DG4" s="472" t="s">
        <v>3254</v>
      </c>
      <c r="DH4" s="472" t="s">
        <v>3255</v>
      </c>
      <c r="DI4" s="472" t="s">
        <v>3256</v>
      </c>
      <c r="DJ4" s="472" t="s">
        <v>3257</v>
      </c>
      <c r="DK4" s="472" t="s">
        <v>3258</v>
      </c>
      <c r="DL4" s="472" t="s">
        <v>3259</v>
      </c>
      <c r="DM4" s="472" t="s">
        <v>3260</v>
      </c>
      <c r="DN4" s="472" t="s">
        <v>3261</v>
      </c>
      <c r="DO4" s="472" t="s">
        <v>3262</v>
      </c>
      <c r="DP4" s="472" t="s">
        <v>3263</v>
      </c>
      <c r="DQ4" s="472" t="s">
        <v>3264</v>
      </c>
      <c r="DR4" s="472" t="s">
        <v>3265</v>
      </c>
      <c r="DS4" s="472" t="s">
        <v>3266</v>
      </c>
      <c r="DT4" s="472" t="s">
        <v>3267</v>
      </c>
      <c r="DU4" s="472" t="s">
        <v>3268</v>
      </c>
      <c r="DV4" s="472" t="s">
        <v>3308</v>
      </c>
      <c r="DW4" s="472" t="s">
        <v>3308</v>
      </c>
      <c r="DX4" s="472" t="s">
        <v>3269</v>
      </c>
      <c r="DY4" s="472" t="s">
        <v>3270</v>
      </c>
      <c r="DZ4" s="472" t="s">
        <v>3271</v>
      </c>
      <c r="EA4" s="472" t="s">
        <v>3272</v>
      </c>
      <c r="EB4" s="472" t="s">
        <v>3273</v>
      </c>
      <c r="EC4" s="472" t="s">
        <v>3274</v>
      </c>
      <c r="ED4" s="472" t="s">
        <v>3275</v>
      </c>
      <c r="EE4" s="472" t="s">
        <v>3276</v>
      </c>
      <c r="EF4" s="472" t="s">
        <v>3277</v>
      </c>
      <c r="EG4" s="472" t="s">
        <v>3278</v>
      </c>
      <c r="EH4" s="472" t="s">
        <v>3310</v>
      </c>
      <c r="EI4" s="472" t="s">
        <v>3310</v>
      </c>
      <c r="EJ4" s="472" t="s">
        <v>3310</v>
      </c>
      <c r="EK4" s="472" t="s">
        <v>3279</v>
      </c>
      <c r="EL4" s="472" t="s">
        <v>3280</v>
      </c>
      <c r="EM4" s="472" t="s">
        <v>3281</v>
      </c>
      <c r="EN4" s="472" t="s">
        <v>3282</v>
      </c>
      <c r="EO4" s="472" t="s">
        <v>3283</v>
      </c>
      <c r="EP4" s="472" t="s">
        <v>3284</v>
      </c>
      <c r="EQ4" s="472" t="s">
        <v>3285</v>
      </c>
      <c r="ER4" s="472" t="s">
        <v>3286</v>
      </c>
      <c r="ES4" s="472" t="s">
        <v>3287</v>
      </c>
      <c r="ET4" s="472" t="s">
        <v>3288</v>
      </c>
      <c r="EU4" s="472" t="s">
        <v>3289</v>
      </c>
    </row>
    <row r="5" spans="1:151" s="420" customFormat="1" ht="59.25" customHeight="1">
      <c r="A5" s="474" t="s">
        <v>2635</v>
      </c>
      <c r="B5" s="474" t="s">
        <v>2895</v>
      </c>
      <c r="C5" s="474" t="s">
        <v>2666</v>
      </c>
      <c r="D5" s="474" t="s">
        <v>257</v>
      </c>
      <c r="E5" s="474" t="s">
        <v>258</v>
      </c>
      <c r="F5" s="474" t="s">
        <v>521</v>
      </c>
      <c r="G5" s="474" t="s">
        <v>240</v>
      </c>
      <c r="H5" s="474" t="s">
        <v>259</v>
      </c>
      <c r="I5" s="474" t="s">
        <v>260</v>
      </c>
      <c r="J5" s="474" t="s">
        <v>2640</v>
      </c>
      <c r="K5" s="474" t="s">
        <v>2641</v>
      </c>
      <c r="L5" s="474" t="s">
        <v>264</v>
      </c>
      <c r="M5" s="474" t="s">
        <v>21</v>
      </c>
      <c r="N5" s="474" t="s">
        <v>2667</v>
      </c>
      <c r="O5" s="474" t="s">
        <v>524</v>
      </c>
      <c r="P5" s="476" t="s">
        <v>268</v>
      </c>
      <c r="Q5" s="474" t="s">
        <v>270</v>
      </c>
      <c r="R5" s="474" t="s">
        <v>271</v>
      </c>
      <c r="S5" s="476" t="s">
        <v>1722</v>
      </c>
      <c r="T5" s="399" t="s">
        <v>2751</v>
      </c>
      <c r="U5" s="400" t="s">
        <v>2782</v>
      </c>
      <c r="V5" s="399" t="s">
        <v>2785</v>
      </c>
      <c r="W5" s="474" t="s">
        <v>272</v>
      </c>
      <c r="X5" s="474" t="s">
        <v>273</v>
      </c>
      <c r="Y5" s="474" t="s">
        <v>3160</v>
      </c>
      <c r="Z5" s="474" t="s">
        <v>3161</v>
      </c>
      <c r="AA5" s="474" t="s">
        <v>2642</v>
      </c>
      <c r="AB5" s="474" t="s">
        <v>2643</v>
      </c>
      <c r="AC5" s="474" t="s">
        <v>288</v>
      </c>
      <c r="AD5" s="474" t="s">
        <v>289</v>
      </c>
      <c r="AE5" s="400" t="s">
        <v>2760</v>
      </c>
      <c r="AF5" s="369" t="s">
        <v>2762</v>
      </c>
      <c r="AG5" s="369" t="s">
        <v>2771</v>
      </c>
      <c r="AH5" s="369" t="s">
        <v>2780</v>
      </c>
      <c r="AI5" s="369" t="s">
        <v>2781</v>
      </c>
      <c r="AJ5" s="474" t="s">
        <v>2658</v>
      </c>
      <c r="AK5" s="400" t="s">
        <v>2655</v>
      </c>
      <c r="AL5" s="400" t="s">
        <v>2731</v>
      </c>
      <c r="AM5" s="400" t="s">
        <v>2732</v>
      </c>
      <c r="AN5" s="400" t="s">
        <v>2733</v>
      </c>
      <c r="AO5" s="400" t="s">
        <v>2739</v>
      </c>
      <c r="AP5" s="474" t="s">
        <v>290</v>
      </c>
      <c r="AQ5" s="477" t="s">
        <v>291</v>
      </c>
      <c r="AR5" s="477" t="s">
        <v>2644</v>
      </c>
      <c r="AS5" s="477" t="s">
        <v>292</v>
      </c>
      <c r="AT5" s="477" t="s">
        <v>293</v>
      </c>
      <c r="AU5" s="477" t="s">
        <v>295</v>
      </c>
      <c r="AV5" s="477" t="s">
        <v>296</v>
      </c>
      <c r="AW5" s="477" t="s">
        <v>297</v>
      </c>
      <c r="AX5" s="477" t="s">
        <v>298</v>
      </c>
      <c r="AY5" s="368" t="s">
        <v>2631</v>
      </c>
      <c r="AZ5" s="369" t="s">
        <v>2632</v>
      </c>
      <c r="BA5" s="477" t="s">
        <v>3290</v>
      </c>
      <c r="BB5" s="477" t="s">
        <v>3291</v>
      </c>
      <c r="BC5" s="477" t="s">
        <v>3292</v>
      </c>
      <c r="BD5" s="477" t="s">
        <v>3293</v>
      </c>
      <c r="BE5" s="477" t="s">
        <v>3294</v>
      </c>
      <c r="BF5" s="477" t="s">
        <v>3295</v>
      </c>
      <c r="BG5" s="477" t="s">
        <v>3296</v>
      </c>
      <c r="BH5" s="477" t="s">
        <v>3297</v>
      </c>
      <c r="BI5" s="477" t="s">
        <v>3298</v>
      </c>
      <c r="BJ5" s="477" t="s">
        <v>3299</v>
      </c>
      <c r="BK5" s="369" t="s">
        <v>2817</v>
      </c>
      <c r="BL5" s="369" t="s">
        <v>2818</v>
      </c>
      <c r="BM5" s="369" t="s">
        <v>2819</v>
      </c>
      <c r="BN5" s="369" t="s">
        <v>2820</v>
      </c>
      <c r="BO5" s="369" t="s">
        <v>2821</v>
      </c>
      <c r="BP5" s="369" t="s">
        <v>2822</v>
      </c>
      <c r="BQ5" s="369" t="s">
        <v>2823</v>
      </c>
      <c r="BR5" s="369" t="s">
        <v>2824</v>
      </c>
      <c r="BS5" s="369" t="s">
        <v>2825</v>
      </c>
      <c r="BT5" s="368" t="s">
        <v>2645</v>
      </c>
      <c r="BU5" s="477" t="s">
        <v>312</v>
      </c>
      <c r="BV5" s="477" t="s">
        <v>2646</v>
      </c>
      <c r="BW5" s="477" t="s">
        <v>2668</v>
      </c>
      <c r="BX5" s="477" t="s">
        <v>2647</v>
      </c>
      <c r="BY5" s="477" t="s">
        <v>2669</v>
      </c>
      <c r="BZ5" s="477" t="s">
        <v>2648</v>
      </c>
      <c r="CA5" s="477" t="s">
        <v>2670</v>
      </c>
      <c r="CB5" s="368" t="s">
        <v>2630</v>
      </c>
      <c r="CC5" s="368" t="s">
        <v>2793</v>
      </c>
      <c r="CD5" s="368" t="s">
        <v>2794</v>
      </c>
      <c r="CE5" s="477" t="s">
        <v>317</v>
      </c>
      <c r="CF5" s="477" t="s">
        <v>2649</v>
      </c>
      <c r="CG5" s="477" t="s">
        <v>2650</v>
      </c>
      <c r="CH5" s="477" t="s">
        <v>2651</v>
      </c>
      <c r="CI5" s="368" t="s">
        <v>3305</v>
      </c>
      <c r="CJ5" s="368" t="s">
        <v>2795</v>
      </c>
      <c r="CK5" s="368" t="s">
        <v>2796</v>
      </c>
      <c r="CL5" s="368" t="s">
        <v>2629</v>
      </c>
      <c r="CM5" s="474" t="s">
        <v>2664</v>
      </c>
      <c r="CN5" s="474" t="s">
        <v>2655</v>
      </c>
      <c r="CO5" s="477" t="s">
        <v>2652</v>
      </c>
      <c r="CP5" s="477" t="s">
        <v>2653</v>
      </c>
      <c r="CQ5" s="477" t="s">
        <v>7</v>
      </c>
      <c r="CR5" s="477" t="s">
        <v>322</v>
      </c>
      <c r="CS5" s="477" t="s">
        <v>324</v>
      </c>
      <c r="CT5" s="474" t="s">
        <v>2659</v>
      </c>
      <c r="CU5" s="474" t="s">
        <v>2654</v>
      </c>
      <c r="CV5" s="474" t="s">
        <v>2655</v>
      </c>
      <c r="CW5" s="474" t="s">
        <v>2665</v>
      </c>
      <c r="CX5" s="474" t="s">
        <v>2633</v>
      </c>
      <c r="CY5" s="474" t="s">
        <v>325</v>
      </c>
      <c r="CZ5" s="474" t="s">
        <v>2656</v>
      </c>
      <c r="DA5" s="474" t="s">
        <v>327</v>
      </c>
      <c r="DB5" s="474" t="s">
        <v>2634</v>
      </c>
      <c r="DC5" s="476" t="s">
        <v>330</v>
      </c>
      <c r="DD5" s="474" t="s">
        <v>328</v>
      </c>
      <c r="DE5" s="474" t="s">
        <v>2657</v>
      </c>
      <c r="DF5" s="476" t="s">
        <v>332</v>
      </c>
      <c r="DG5" s="474" t="s">
        <v>3300</v>
      </c>
      <c r="DH5" s="476" t="s">
        <v>3301</v>
      </c>
      <c r="DI5" s="476" t="s">
        <v>2655</v>
      </c>
      <c r="DJ5" s="474" t="s">
        <v>3302</v>
      </c>
      <c r="DK5" s="474" t="s">
        <v>3303</v>
      </c>
      <c r="DL5" s="474" t="s">
        <v>3304</v>
      </c>
      <c r="DM5" s="475" t="s">
        <v>290</v>
      </c>
      <c r="DN5" s="475" t="s">
        <v>291</v>
      </c>
      <c r="DO5" s="475" t="s">
        <v>2644</v>
      </c>
      <c r="DP5" s="475" t="s">
        <v>292</v>
      </c>
      <c r="DQ5" s="475" t="s">
        <v>293</v>
      </c>
      <c r="DR5" s="475" t="s">
        <v>295</v>
      </c>
      <c r="DS5" s="475" t="s">
        <v>296</v>
      </c>
      <c r="DT5" s="475" t="s">
        <v>297</v>
      </c>
      <c r="DU5" s="475" t="s">
        <v>298</v>
      </c>
      <c r="DV5" s="481" t="s">
        <v>2631</v>
      </c>
      <c r="DW5" s="481" t="s">
        <v>3309</v>
      </c>
      <c r="DX5" s="475" t="s">
        <v>3290</v>
      </c>
      <c r="DY5" s="475" t="s">
        <v>3291</v>
      </c>
      <c r="DZ5" s="475" t="s">
        <v>3292</v>
      </c>
      <c r="EA5" s="475" t="s">
        <v>3293</v>
      </c>
      <c r="EB5" s="475" t="s">
        <v>3294</v>
      </c>
      <c r="EC5" s="475" t="s">
        <v>3295</v>
      </c>
      <c r="ED5" s="475" t="s">
        <v>3296</v>
      </c>
      <c r="EE5" s="475" t="s">
        <v>3297</v>
      </c>
      <c r="EF5" s="475" t="s">
        <v>3298</v>
      </c>
      <c r="EG5" s="475" t="s">
        <v>3299</v>
      </c>
      <c r="EH5" s="481" t="s">
        <v>3311</v>
      </c>
      <c r="EI5" s="481" t="s">
        <v>3312</v>
      </c>
      <c r="EJ5" s="481" t="s">
        <v>3313</v>
      </c>
      <c r="EK5" s="475" t="s">
        <v>312</v>
      </c>
      <c r="EL5" s="475" t="s">
        <v>2646</v>
      </c>
      <c r="EM5" s="475" t="s">
        <v>2668</v>
      </c>
      <c r="EN5" s="475" t="s">
        <v>2647</v>
      </c>
      <c r="EO5" s="475" t="s">
        <v>2669</v>
      </c>
      <c r="EP5" s="475" t="s">
        <v>2648</v>
      </c>
      <c r="EQ5" s="475" t="s">
        <v>2670</v>
      </c>
      <c r="ER5" s="475" t="s">
        <v>317</v>
      </c>
      <c r="ES5" s="475" t="s">
        <v>2649</v>
      </c>
      <c r="ET5" s="475" t="s">
        <v>2650</v>
      </c>
      <c r="EU5" s="475" t="s">
        <v>2651</v>
      </c>
    </row>
    <row r="6" spans="1:151" s="1" customFormat="1" ht="19.899999999999999" customHeight="1">
      <c r="A6" s="491">
        <v>1</v>
      </c>
      <c r="B6" s="491" t="s">
        <v>3090</v>
      </c>
      <c r="C6" s="486" t="s">
        <v>2797</v>
      </c>
      <c r="D6" s="495" t="s">
        <v>2805</v>
      </c>
      <c r="E6" s="548" t="s">
        <v>2671</v>
      </c>
      <c r="F6" s="549" t="s">
        <v>2807</v>
      </c>
      <c r="G6" s="512" t="s">
        <v>2896</v>
      </c>
      <c r="H6" s="495" t="s">
        <v>2806</v>
      </c>
      <c r="I6" s="549" t="s">
        <v>2755</v>
      </c>
      <c r="J6" s="495" t="s">
        <v>2672</v>
      </c>
      <c r="K6" s="556" t="s">
        <v>3103</v>
      </c>
      <c r="L6" s="495" t="s">
        <v>3133</v>
      </c>
      <c r="M6" s="491" t="s">
        <v>2873</v>
      </c>
      <c r="N6" s="486" t="s">
        <v>3133</v>
      </c>
      <c r="O6" s="512" t="s">
        <v>2878</v>
      </c>
      <c r="P6" s="517" t="s">
        <v>2922</v>
      </c>
      <c r="Q6" s="495">
        <v>2</v>
      </c>
      <c r="R6" s="2" t="s">
        <v>2724</v>
      </c>
      <c r="S6" s="382" t="s">
        <v>52</v>
      </c>
      <c r="T6" s="371" t="s">
        <v>2753</v>
      </c>
      <c r="U6" s="373" t="s">
        <v>52</v>
      </c>
      <c r="V6" s="2">
        <v>12.8</v>
      </c>
      <c r="W6" s="372">
        <v>377</v>
      </c>
      <c r="X6" s="489">
        <v>755</v>
      </c>
      <c r="Y6" s="372">
        <v>67</v>
      </c>
      <c r="Z6" s="520">
        <v>67.500662251655626</v>
      </c>
      <c r="AA6" s="383">
        <v>377</v>
      </c>
      <c r="AB6" s="491">
        <f>AA6+AA7</f>
        <v>755</v>
      </c>
      <c r="AC6" s="2">
        <v>344</v>
      </c>
      <c r="AD6" s="495">
        <f>AC6+AC7</f>
        <v>694</v>
      </c>
      <c r="AE6" s="404" t="s">
        <v>52</v>
      </c>
      <c r="AF6" s="387" t="s">
        <v>52</v>
      </c>
      <c r="AG6" s="373" t="s">
        <v>2776</v>
      </c>
      <c r="AH6" s="373" t="s">
        <v>2783</v>
      </c>
      <c r="AI6" s="387" t="s">
        <v>52</v>
      </c>
      <c r="AJ6" s="528" t="s">
        <v>2714</v>
      </c>
      <c r="AK6" s="533" t="s">
        <v>3315</v>
      </c>
      <c r="AL6" s="533">
        <v>920</v>
      </c>
      <c r="AM6" s="533">
        <v>755</v>
      </c>
      <c r="AN6" s="533">
        <v>151</v>
      </c>
      <c r="AO6" s="533" t="s">
        <v>2749</v>
      </c>
      <c r="AP6" s="3">
        <v>377</v>
      </c>
      <c r="AQ6" s="543">
        <f t="shared" ref="AQ6" si="0">AP6+AP7</f>
        <v>755</v>
      </c>
      <c r="AR6" s="2">
        <v>12.7</v>
      </c>
      <c r="AS6" s="366">
        <v>11.6</v>
      </c>
      <c r="AT6" s="366">
        <v>13.7</v>
      </c>
      <c r="AU6" s="2">
        <v>0.7</v>
      </c>
      <c r="AV6" s="2">
        <v>0.59</v>
      </c>
      <c r="AW6" s="2">
        <v>0.83</v>
      </c>
      <c r="AX6" s="2" t="s">
        <v>2804</v>
      </c>
      <c r="AY6" s="2" t="s">
        <v>52</v>
      </c>
      <c r="AZ6" s="2" t="s">
        <v>52</v>
      </c>
      <c r="BA6" s="536" t="s">
        <v>2808</v>
      </c>
      <c r="BB6" s="377">
        <v>377</v>
      </c>
      <c r="BC6" s="543">
        <v>755</v>
      </c>
      <c r="BD6" s="377">
        <v>1.4</v>
      </c>
      <c r="BE6" s="377">
        <v>1.4</v>
      </c>
      <c r="BF6" s="377">
        <v>1.7</v>
      </c>
      <c r="BG6" s="2" t="s">
        <v>52</v>
      </c>
      <c r="BH6" s="2" t="s">
        <v>52</v>
      </c>
      <c r="BI6" s="2" t="s">
        <v>52</v>
      </c>
      <c r="BJ6" s="3" t="s">
        <v>2804</v>
      </c>
      <c r="BK6" s="406" t="s">
        <v>52</v>
      </c>
      <c r="BL6" s="370">
        <v>377</v>
      </c>
      <c r="BM6" s="2">
        <v>3.1</v>
      </c>
      <c r="BN6" s="2">
        <v>0.9</v>
      </c>
      <c r="BO6" s="2">
        <v>9.1</v>
      </c>
      <c r="BP6" s="2" t="s">
        <v>52</v>
      </c>
      <c r="BQ6" s="2" t="s">
        <v>52</v>
      </c>
      <c r="BR6" s="2" t="s">
        <v>52</v>
      </c>
      <c r="BS6" s="2">
        <v>1E-3</v>
      </c>
      <c r="BT6" s="371" t="s">
        <v>2815</v>
      </c>
      <c r="BU6" s="370">
        <v>204</v>
      </c>
      <c r="BV6" s="3">
        <v>9</v>
      </c>
      <c r="BW6" s="381" t="s">
        <v>2897</v>
      </c>
      <c r="BX6" s="381" t="s">
        <v>52</v>
      </c>
      <c r="BY6" s="381" t="s">
        <v>52</v>
      </c>
      <c r="BZ6" s="381" t="s">
        <v>52</v>
      </c>
      <c r="CA6" s="381" t="s">
        <v>52</v>
      </c>
      <c r="CB6" s="2" t="s">
        <v>52</v>
      </c>
      <c r="CC6" s="2">
        <v>325</v>
      </c>
      <c r="CD6" s="2">
        <v>58</v>
      </c>
      <c r="CE6" s="370" t="s">
        <v>52</v>
      </c>
      <c r="CF6" s="370" t="s">
        <v>52</v>
      </c>
      <c r="CG6" s="381" t="s">
        <v>52</v>
      </c>
      <c r="CH6" s="381" t="s">
        <v>52</v>
      </c>
      <c r="CI6" s="381" t="s">
        <v>52</v>
      </c>
      <c r="CJ6" s="2">
        <v>377</v>
      </c>
      <c r="CK6" s="2">
        <v>279</v>
      </c>
      <c r="CL6" s="3" t="s">
        <v>2842</v>
      </c>
      <c r="CM6" s="528" t="s">
        <v>54</v>
      </c>
      <c r="CN6" s="528" t="s">
        <v>54</v>
      </c>
      <c r="CO6" s="495" t="s">
        <v>54</v>
      </c>
      <c r="CP6" s="495" t="s">
        <v>54</v>
      </c>
      <c r="CQ6" s="495" t="s">
        <v>54</v>
      </c>
      <c r="CR6" s="495" t="s">
        <v>54</v>
      </c>
      <c r="CS6" s="495" t="s">
        <v>54</v>
      </c>
      <c r="CT6" s="495" t="s">
        <v>54</v>
      </c>
      <c r="CU6" s="495" t="s">
        <v>54</v>
      </c>
      <c r="CV6" s="495" t="s">
        <v>54</v>
      </c>
      <c r="CW6" s="495" t="s">
        <v>54</v>
      </c>
      <c r="CX6" s="495" t="s">
        <v>54</v>
      </c>
      <c r="CY6" s="495" t="s">
        <v>54</v>
      </c>
      <c r="CZ6" s="495" t="s">
        <v>54</v>
      </c>
      <c r="DA6" s="495" t="s">
        <v>54</v>
      </c>
      <c r="DB6" s="495" t="s">
        <v>54</v>
      </c>
      <c r="DC6" s="495" t="s">
        <v>54</v>
      </c>
      <c r="DD6" s="495" t="s">
        <v>54</v>
      </c>
      <c r="DE6" s="495" t="s">
        <v>54</v>
      </c>
      <c r="DF6" s="495" t="s">
        <v>54</v>
      </c>
      <c r="DG6" s="495" t="s">
        <v>54</v>
      </c>
      <c r="DH6" s="495" t="s">
        <v>54</v>
      </c>
      <c r="DI6" s="495" t="s">
        <v>54</v>
      </c>
      <c r="DJ6" s="495" t="s">
        <v>54</v>
      </c>
      <c r="DK6" s="495" t="s">
        <v>54</v>
      </c>
      <c r="DL6" s="495" t="s">
        <v>54</v>
      </c>
      <c r="DM6" s="381" t="s">
        <v>54</v>
      </c>
      <c r="DN6" s="486" t="s">
        <v>54</v>
      </c>
      <c r="DO6" s="381" t="s">
        <v>54</v>
      </c>
      <c r="DP6" s="385" t="s">
        <v>54</v>
      </c>
      <c r="DQ6" s="385" t="s">
        <v>54</v>
      </c>
      <c r="DR6" s="381" t="s">
        <v>54</v>
      </c>
      <c r="DS6" s="381" t="s">
        <v>54</v>
      </c>
      <c r="DT6" s="381" t="s">
        <v>54</v>
      </c>
      <c r="DU6" s="381" t="s">
        <v>54</v>
      </c>
      <c r="DV6" s="381" t="s">
        <v>54</v>
      </c>
      <c r="DW6" s="381" t="s">
        <v>54</v>
      </c>
      <c r="DX6" s="489" t="s">
        <v>54</v>
      </c>
      <c r="DY6" s="405" t="s">
        <v>54</v>
      </c>
      <c r="DZ6" s="489" t="s">
        <v>54</v>
      </c>
      <c r="EA6" s="405" t="s">
        <v>54</v>
      </c>
      <c r="EB6" s="405" t="s">
        <v>54</v>
      </c>
      <c r="EC6" s="405" t="s">
        <v>54</v>
      </c>
      <c r="ED6" s="381" t="s">
        <v>54</v>
      </c>
      <c r="EE6" s="381" t="s">
        <v>54</v>
      </c>
      <c r="EF6" s="381" t="s">
        <v>54</v>
      </c>
      <c r="EG6" s="381" t="s">
        <v>54</v>
      </c>
      <c r="EH6" s="381" t="s">
        <v>54</v>
      </c>
      <c r="EI6" s="381" t="s">
        <v>54</v>
      </c>
      <c r="EJ6" s="381" t="s">
        <v>54</v>
      </c>
      <c r="EK6" s="381" t="s">
        <v>54</v>
      </c>
      <c r="EL6" s="381" t="s">
        <v>54</v>
      </c>
      <c r="EM6" s="381" t="s">
        <v>54</v>
      </c>
      <c r="EN6" s="381" t="s">
        <v>54</v>
      </c>
      <c r="EO6" s="381" t="s">
        <v>54</v>
      </c>
      <c r="EP6" s="381" t="s">
        <v>54</v>
      </c>
      <c r="EQ6" s="381" t="s">
        <v>54</v>
      </c>
      <c r="ER6" s="381" t="s">
        <v>54</v>
      </c>
      <c r="ES6" s="381" t="s">
        <v>54</v>
      </c>
      <c r="ET6" s="381" t="s">
        <v>54</v>
      </c>
      <c r="EU6" s="381" t="s">
        <v>54</v>
      </c>
    </row>
    <row r="7" spans="1:151" s="1" customFormat="1" ht="19.899999999999999" customHeight="1">
      <c r="A7" s="492"/>
      <c r="B7" s="492"/>
      <c r="C7" s="487"/>
      <c r="D7" s="506"/>
      <c r="E7" s="506"/>
      <c r="F7" s="539"/>
      <c r="G7" s="513"/>
      <c r="H7" s="506"/>
      <c r="I7" s="539"/>
      <c r="J7" s="506"/>
      <c r="K7" s="492"/>
      <c r="L7" s="496"/>
      <c r="M7" s="492"/>
      <c r="N7" s="487"/>
      <c r="O7" s="513"/>
      <c r="P7" s="531"/>
      <c r="Q7" s="496"/>
      <c r="R7" s="3" t="s">
        <v>2718</v>
      </c>
      <c r="S7" s="382" t="s">
        <v>52</v>
      </c>
      <c r="T7" s="371" t="s">
        <v>2753</v>
      </c>
      <c r="U7" s="373" t="s">
        <v>52</v>
      </c>
      <c r="V7" s="2">
        <v>12.8</v>
      </c>
      <c r="W7" s="372">
        <v>378</v>
      </c>
      <c r="X7" s="490"/>
      <c r="Y7" s="372">
        <v>68</v>
      </c>
      <c r="Z7" s="521"/>
      <c r="AA7" s="383">
        <v>378</v>
      </c>
      <c r="AB7" s="492"/>
      <c r="AC7" s="2">
        <v>350</v>
      </c>
      <c r="AD7" s="496"/>
      <c r="AE7" s="404" t="s">
        <v>52</v>
      </c>
      <c r="AF7" s="387" t="s">
        <v>52</v>
      </c>
      <c r="AG7" s="373" t="s">
        <v>2777</v>
      </c>
      <c r="AH7" s="373" t="s">
        <v>2784</v>
      </c>
      <c r="AI7" s="387" t="s">
        <v>52</v>
      </c>
      <c r="AJ7" s="529"/>
      <c r="AK7" s="533"/>
      <c r="AL7" s="533"/>
      <c r="AM7" s="533"/>
      <c r="AN7" s="533"/>
      <c r="AO7" s="533"/>
      <c r="AP7" s="3">
        <v>378</v>
      </c>
      <c r="AQ7" s="546"/>
      <c r="AR7" s="2">
        <v>15.1</v>
      </c>
      <c r="AS7" s="366">
        <v>14.1</v>
      </c>
      <c r="AT7" s="366">
        <v>16.3</v>
      </c>
      <c r="AU7" s="2" t="s">
        <v>52</v>
      </c>
      <c r="AV7" s="2" t="s">
        <v>52</v>
      </c>
      <c r="AW7" s="2" t="s">
        <v>52</v>
      </c>
      <c r="AX7" s="2" t="s">
        <v>52</v>
      </c>
      <c r="AY7" s="2" t="s">
        <v>52</v>
      </c>
      <c r="AZ7" s="2" t="s">
        <v>52</v>
      </c>
      <c r="BA7" s="537"/>
      <c r="BB7" s="377">
        <v>378</v>
      </c>
      <c r="BC7" s="546"/>
      <c r="BD7" s="377">
        <v>2.8</v>
      </c>
      <c r="BE7" s="377">
        <v>2.4</v>
      </c>
      <c r="BF7" s="377">
        <v>3</v>
      </c>
      <c r="BG7" s="3">
        <v>0.74</v>
      </c>
      <c r="BH7" s="3">
        <v>0.64</v>
      </c>
      <c r="BI7" s="3">
        <v>0.86</v>
      </c>
      <c r="BJ7" s="3" t="s">
        <v>2804</v>
      </c>
      <c r="BK7" s="406" t="s">
        <v>52</v>
      </c>
      <c r="BL7" s="370">
        <v>378</v>
      </c>
      <c r="BM7" s="2">
        <v>6.4</v>
      </c>
      <c r="BN7" s="2">
        <v>2.2000000000000002</v>
      </c>
      <c r="BO7" s="2">
        <v>10.1</v>
      </c>
      <c r="BP7" s="2">
        <v>0.75</v>
      </c>
      <c r="BQ7" s="2">
        <v>0.63</v>
      </c>
      <c r="BR7" s="2">
        <v>0.9</v>
      </c>
      <c r="BS7" s="2">
        <v>1E-3</v>
      </c>
      <c r="BT7" s="371" t="s">
        <v>2816</v>
      </c>
      <c r="BU7" s="370">
        <v>201</v>
      </c>
      <c r="BV7" s="3">
        <v>29</v>
      </c>
      <c r="BW7" s="381" t="s">
        <v>2898</v>
      </c>
      <c r="BX7" s="381" t="s">
        <v>52</v>
      </c>
      <c r="BY7" s="381" t="s">
        <v>52</v>
      </c>
      <c r="BZ7" s="381" t="s">
        <v>52</v>
      </c>
      <c r="CA7" s="381" t="s">
        <v>52</v>
      </c>
      <c r="CB7" s="2" t="s">
        <v>52</v>
      </c>
      <c r="CC7" s="2">
        <v>329</v>
      </c>
      <c r="CD7" s="2">
        <v>129</v>
      </c>
      <c r="CE7" s="370" t="s">
        <v>52</v>
      </c>
      <c r="CF7" s="2" t="s">
        <v>52</v>
      </c>
      <c r="CG7" s="381" t="s">
        <v>52</v>
      </c>
      <c r="CH7" s="381" t="s">
        <v>52</v>
      </c>
      <c r="CI7" s="381" t="s">
        <v>52</v>
      </c>
      <c r="CJ7" s="2">
        <v>378</v>
      </c>
      <c r="CK7" s="2">
        <v>234</v>
      </c>
      <c r="CL7" s="3" t="s">
        <v>2842</v>
      </c>
      <c r="CM7" s="534"/>
      <c r="CN7" s="534"/>
      <c r="CO7" s="496"/>
      <c r="CP7" s="496"/>
      <c r="CQ7" s="496"/>
      <c r="CR7" s="496"/>
      <c r="CS7" s="496"/>
      <c r="CT7" s="496"/>
      <c r="CU7" s="496"/>
      <c r="CV7" s="496"/>
      <c r="CW7" s="496"/>
      <c r="CX7" s="496"/>
      <c r="CY7" s="496"/>
      <c r="CZ7" s="496"/>
      <c r="DA7" s="496"/>
      <c r="DB7" s="496"/>
      <c r="DC7" s="496"/>
      <c r="DD7" s="496"/>
      <c r="DE7" s="496"/>
      <c r="DF7" s="496"/>
      <c r="DG7" s="496"/>
      <c r="DH7" s="496"/>
      <c r="DI7" s="496"/>
      <c r="DJ7" s="496"/>
      <c r="DK7" s="496"/>
      <c r="DL7" s="496"/>
      <c r="DM7" s="381" t="s">
        <v>54</v>
      </c>
      <c r="DN7" s="487"/>
      <c r="DO7" s="381" t="s">
        <v>54</v>
      </c>
      <c r="DP7" s="385" t="s">
        <v>54</v>
      </c>
      <c r="DQ7" s="385" t="s">
        <v>54</v>
      </c>
      <c r="DR7" s="381" t="s">
        <v>54</v>
      </c>
      <c r="DS7" s="381" t="s">
        <v>54</v>
      </c>
      <c r="DT7" s="381" t="s">
        <v>54</v>
      </c>
      <c r="DU7" s="381" t="s">
        <v>54</v>
      </c>
      <c r="DV7" s="381" t="s">
        <v>54</v>
      </c>
      <c r="DW7" s="381" t="s">
        <v>54</v>
      </c>
      <c r="DX7" s="490"/>
      <c r="DY7" s="405" t="s">
        <v>54</v>
      </c>
      <c r="DZ7" s="490"/>
      <c r="EA7" s="405" t="s">
        <v>54</v>
      </c>
      <c r="EB7" s="405" t="s">
        <v>54</v>
      </c>
      <c r="EC7" s="405" t="s">
        <v>54</v>
      </c>
      <c r="ED7" s="381" t="s">
        <v>54</v>
      </c>
      <c r="EE7" s="381" t="s">
        <v>54</v>
      </c>
      <c r="EF7" s="381" t="s">
        <v>54</v>
      </c>
      <c r="EG7" s="381" t="s">
        <v>54</v>
      </c>
      <c r="EH7" s="381" t="s">
        <v>54</v>
      </c>
      <c r="EI7" s="381" t="s">
        <v>54</v>
      </c>
      <c r="EJ7" s="381" t="s">
        <v>54</v>
      </c>
      <c r="EK7" s="381" t="s">
        <v>54</v>
      </c>
      <c r="EL7" s="381" t="s">
        <v>54</v>
      </c>
      <c r="EM7" s="381" t="s">
        <v>54</v>
      </c>
      <c r="EN7" s="381" t="s">
        <v>54</v>
      </c>
      <c r="EO7" s="381" t="s">
        <v>54</v>
      </c>
      <c r="EP7" s="381" t="s">
        <v>54</v>
      </c>
      <c r="EQ7" s="381" t="s">
        <v>54</v>
      </c>
      <c r="ER7" s="381" t="s">
        <v>54</v>
      </c>
      <c r="ES7" s="381" t="s">
        <v>54</v>
      </c>
      <c r="ET7" s="381" t="s">
        <v>54</v>
      </c>
      <c r="EU7" s="381" t="s">
        <v>54</v>
      </c>
    </row>
    <row r="8" spans="1:151" s="1" customFormat="1" ht="19.899999999999999" customHeight="1">
      <c r="A8" s="493"/>
      <c r="B8" s="493"/>
      <c r="C8" s="487"/>
      <c r="D8" s="507"/>
      <c r="E8" s="507"/>
      <c r="F8" s="540"/>
      <c r="G8" s="514"/>
      <c r="H8" s="507"/>
      <c r="I8" s="540"/>
      <c r="J8" s="507"/>
      <c r="K8" s="493"/>
      <c r="L8" s="497"/>
      <c r="M8" s="493"/>
      <c r="N8" s="487"/>
      <c r="O8" s="514"/>
      <c r="P8" s="531"/>
      <c r="Q8" s="497"/>
      <c r="R8" s="2" t="s">
        <v>54</v>
      </c>
      <c r="S8" s="382" t="s">
        <v>54</v>
      </c>
      <c r="T8" s="371" t="s">
        <v>54</v>
      </c>
      <c r="U8" s="373" t="s">
        <v>54</v>
      </c>
      <c r="V8" s="2" t="s">
        <v>54</v>
      </c>
      <c r="W8" s="372" t="s">
        <v>54</v>
      </c>
      <c r="X8" s="490"/>
      <c r="Y8" s="372" t="s">
        <v>54</v>
      </c>
      <c r="Z8" s="521"/>
      <c r="AA8" s="383" t="s">
        <v>54</v>
      </c>
      <c r="AB8" s="493"/>
      <c r="AC8" s="2" t="s">
        <v>54</v>
      </c>
      <c r="AD8" s="497"/>
      <c r="AE8" s="405" t="s">
        <v>54</v>
      </c>
      <c r="AF8" s="372" t="s">
        <v>54</v>
      </c>
      <c r="AG8" s="372" t="s">
        <v>54</v>
      </c>
      <c r="AH8" s="372" t="s">
        <v>54</v>
      </c>
      <c r="AI8" s="372" t="s">
        <v>54</v>
      </c>
      <c r="AJ8" s="529"/>
      <c r="AK8" s="533"/>
      <c r="AL8" s="533"/>
      <c r="AM8" s="533"/>
      <c r="AN8" s="533"/>
      <c r="AO8" s="533"/>
      <c r="AP8" s="2" t="s">
        <v>54</v>
      </c>
      <c r="AQ8" s="546"/>
      <c r="AR8" s="2" t="s">
        <v>54</v>
      </c>
      <c r="AS8" s="366" t="s">
        <v>54</v>
      </c>
      <c r="AT8" s="366" t="s">
        <v>54</v>
      </c>
      <c r="AU8" s="2" t="s">
        <v>54</v>
      </c>
      <c r="AV8" s="2" t="s">
        <v>54</v>
      </c>
      <c r="AW8" s="2" t="s">
        <v>54</v>
      </c>
      <c r="AX8" s="2" t="s">
        <v>54</v>
      </c>
      <c r="AY8" s="380" t="s">
        <v>54</v>
      </c>
      <c r="AZ8" s="378" t="s">
        <v>54</v>
      </c>
      <c r="BA8" s="537"/>
      <c r="BB8" s="378" t="s">
        <v>54</v>
      </c>
      <c r="BC8" s="546"/>
      <c r="BD8" s="378" t="s">
        <v>54</v>
      </c>
      <c r="BE8" s="378" t="s">
        <v>54</v>
      </c>
      <c r="BF8" s="378" t="s">
        <v>54</v>
      </c>
      <c r="BG8" s="2" t="s">
        <v>54</v>
      </c>
      <c r="BH8" s="2" t="s">
        <v>54</v>
      </c>
      <c r="BI8" s="2" t="s">
        <v>54</v>
      </c>
      <c r="BJ8" s="2" t="s">
        <v>54</v>
      </c>
      <c r="BK8" s="371" t="s">
        <v>54</v>
      </c>
      <c r="BL8" s="370" t="s">
        <v>54</v>
      </c>
      <c r="BM8" s="2" t="s">
        <v>54</v>
      </c>
      <c r="BN8" s="2" t="s">
        <v>54</v>
      </c>
      <c r="BO8" s="2" t="s">
        <v>54</v>
      </c>
      <c r="BP8" s="2" t="s">
        <v>54</v>
      </c>
      <c r="BQ8" s="2" t="s">
        <v>54</v>
      </c>
      <c r="BR8" s="2" t="s">
        <v>54</v>
      </c>
      <c r="BS8" s="2" t="s">
        <v>54</v>
      </c>
      <c r="BT8" s="371" t="s">
        <v>54</v>
      </c>
      <c r="BU8" s="370" t="s">
        <v>54</v>
      </c>
      <c r="BV8" s="2" t="s">
        <v>54</v>
      </c>
      <c r="BW8" s="381" t="s">
        <v>54</v>
      </c>
      <c r="BX8" s="381" t="s">
        <v>54</v>
      </c>
      <c r="BY8" s="381" t="s">
        <v>54</v>
      </c>
      <c r="BZ8" s="381" t="s">
        <v>54</v>
      </c>
      <c r="CA8" s="381" t="s">
        <v>54</v>
      </c>
      <c r="CB8" s="2" t="s">
        <v>54</v>
      </c>
      <c r="CC8" s="2" t="s">
        <v>54</v>
      </c>
      <c r="CD8" s="2" t="s">
        <v>54</v>
      </c>
      <c r="CE8" s="370" t="s">
        <v>54</v>
      </c>
      <c r="CF8" s="2" t="s">
        <v>54</v>
      </c>
      <c r="CG8" s="381" t="s">
        <v>54</v>
      </c>
      <c r="CH8" s="381" t="s">
        <v>54</v>
      </c>
      <c r="CI8" s="381" t="s">
        <v>54</v>
      </c>
      <c r="CJ8" s="2" t="s">
        <v>54</v>
      </c>
      <c r="CK8" s="2" t="s">
        <v>54</v>
      </c>
      <c r="CL8" s="2" t="s">
        <v>54</v>
      </c>
      <c r="CM8" s="534"/>
      <c r="CN8" s="534"/>
      <c r="CO8" s="497"/>
      <c r="CP8" s="497"/>
      <c r="CQ8" s="497"/>
      <c r="CR8" s="497"/>
      <c r="CS8" s="497"/>
      <c r="CT8" s="497"/>
      <c r="CU8" s="497"/>
      <c r="CV8" s="497"/>
      <c r="CW8" s="497"/>
      <c r="CX8" s="497"/>
      <c r="CY8" s="497"/>
      <c r="CZ8" s="497"/>
      <c r="DA8" s="497"/>
      <c r="DB8" s="497"/>
      <c r="DC8" s="497"/>
      <c r="DD8" s="497"/>
      <c r="DE8" s="497"/>
      <c r="DF8" s="497"/>
      <c r="DG8" s="497"/>
      <c r="DH8" s="497"/>
      <c r="DI8" s="497"/>
      <c r="DJ8" s="497"/>
      <c r="DK8" s="497"/>
      <c r="DL8" s="497"/>
      <c r="DM8" s="381" t="s">
        <v>54</v>
      </c>
      <c r="DN8" s="487"/>
      <c r="DO8" s="381" t="s">
        <v>54</v>
      </c>
      <c r="DP8" s="385" t="s">
        <v>54</v>
      </c>
      <c r="DQ8" s="385" t="s">
        <v>54</v>
      </c>
      <c r="DR8" s="381" t="s">
        <v>54</v>
      </c>
      <c r="DS8" s="381" t="s">
        <v>54</v>
      </c>
      <c r="DT8" s="381" t="s">
        <v>54</v>
      </c>
      <c r="DU8" s="381" t="s">
        <v>54</v>
      </c>
      <c r="DV8" s="381" t="s">
        <v>54</v>
      </c>
      <c r="DW8" s="381" t="s">
        <v>54</v>
      </c>
      <c r="DX8" s="490"/>
      <c r="DY8" s="405" t="s">
        <v>54</v>
      </c>
      <c r="DZ8" s="490"/>
      <c r="EA8" s="405" t="s">
        <v>54</v>
      </c>
      <c r="EB8" s="405" t="s">
        <v>54</v>
      </c>
      <c r="EC8" s="405" t="s">
        <v>54</v>
      </c>
      <c r="ED8" s="381" t="s">
        <v>54</v>
      </c>
      <c r="EE8" s="381" t="s">
        <v>54</v>
      </c>
      <c r="EF8" s="381" t="s">
        <v>54</v>
      </c>
      <c r="EG8" s="381" t="s">
        <v>54</v>
      </c>
      <c r="EH8" s="381" t="s">
        <v>54</v>
      </c>
      <c r="EI8" s="381" t="s">
        <v>54</v>
      </c>
      <c r="EJ8" s="381" t="s">
        <v>54</v>
      </c>
      <c r="EK8" s="381" t="s">
        <v>54</v>
      </c>
      <c r="EL8" s="381" t="s">
        <v>54</v>
      </c>
      <c r="EM8" s="381" t="s">
        <v>54</v>
      </c>
      <c r="EN8" s="381" t="s">
        <v>54</v>
      </c>
      <c r="EO8" s="381" t="s">
        <v>54</v>
      </c>
      <c r="EP8" s="381" t="s">
        <v>54</v>
      </c>
      <c r="EQ8" s="381" t="s">
        <v>54</v>
      </c>
      <c r="ER8" s="381" t="s">
        <v>54</v>
      </c>
      <c r="ES8" s="381" t="s">
        <v>54</v>
      </c>
      <c r="ET8" s="381" t="s">
        <v>54</v>
      </c>
      <c r="EU8" s="381" t="s">
        <v>54</v>
      </c>
    </row>
    <row r="9" spans="1:151" s="1" customFormat="1" ht="19.899999999999999" customHeight="1">
      <c r="A9" s="494"/>
      <c r="B9" s="494"/>
      <c r="C9" s="488"/>
      <c r="D9" s="508"/>
      <c r="E9" s="508"/>
      <c r="F9" s="541"/>
      <c r="G9" s="515"/>
      <c r="H9" s="508"/>
      <c r="I9" s="541"/>
      <c r="J9" s="508"/>
      <c r="K9" s="494"/>
      <c r="L9" s="498"/>
      <c r="M9" s="494"/>
      <c r="N9" s="488"/>
      <c r="O9" s="515"/>
      <c r="P9" s="532"/>
      <c r="Q9" s="498"/>
      <c r="R9" s="2" t="s">
        <v>54</v>
      </c>
      <c r="S9" s="382" t="s">
        <v>54</v>
      </c>
      <c r="T9" s="371" t="s">
        <v>54</v>
      </c>
      <c r="U9" s="373" t="s">
        <v>54</v>
      </c>
      <c r="V9" s="2" t="s">
        <v>54</v>
      </c>
      <c r="W9" s="372" t="s">
        <v>54</v>
      </c>
      <c r="X9" s="490"/>
      <c r="Y9" s="372" t="s">
        <v>54</v>
      </c>
      <c r="Z9" s="521"/>
      <c r="AA9" s="383" t="s">
        <v>54</v>
      </c>
      <c r="AB9" s="494"/>
      <c r="AC9" s="2" t="s">
        <v>54</v>
      </c>
      <c r="AD9" s="498"/>
      <c r="AE9" s="405" t="s">
        <v>54</v>
      </c>
      <c r="AF9" s="372" t="s">
        <v>54</v>
      </c>
      <c r="AG9" s="372" t="s">
        <v>54</v>
      </c>
      <c r="AH9" s="372" t="s">
        <v>54</v>
      </c>
      <c r="AI9" s="372" t="s">
        <v>54</v>
      </c>
      <c r="AJ9" s="530"/>
      <c r="AK9" s="533"/>
      <c r="AL9" s="533"/>
      <c r="AM9" s="533"/>
      <c r="AN9" s="533"/>
      <c r="AO9" s="533"/>
      <c r="AP9" s="2" t="s">
        <v>54</v>
      </c>
      <c r="AQ9" s="547"/>
      <c r="AR9" s="2" t="s">
        <v>54</v>
      </c>
      <c r="AS9" s="366" t="s">
        <v>54</v>
      </c>
      <c r="AT9" s="366" t="s">
        <v>54</v>
      </c>
      <c r="AU9" s="2" t="s">
        <v>54</v>
      </c>
      <c r="AV9" s="2" t="s">
        <v>54</v>
      </c>
      <c r="AW9" s="2" t="s">
        <v>54</v>
      </c>
      <c r="AX9" s="2" t="s">
        <v>54</v>
      </c>
      <c r="AY9" s="380" t="s">
        <v>54</v>
      </c>
      <c r="AZ9" s="378" t="s">
        <v>54</v>
      </c>
      <c r="BA9" s="537"/>
      <c r="BB9" s="378" t="s">
        <v>54</v>
      </c>
      <c r="BC9" s="547"/>
      <c r="BD9" s="378" t="s">
        <v>54</v>
      </c>
      <c r="BE9" s="378" t="s">
        <v>54</v>
      </c>
      <c r="BF9" s="378" t="s">
        <v>54</v>
      </c>
      <c r="BG9" s="2" t="s">
        <v>54</v>
      </c>
      <c r="BH9" s="2" t="s">
        <v>54</v>
      </c>
      <c r="BI9" s="2" t="s">
        <v>54</v>
      </c>
      <c r="BJ9" s="2" t="s">
        <v>54</v>
      </c>
      <c r="BK9" s="371" t="s">
        <v>54</v>
      </c>
      <c r="BL9" s="370" t="s">
        <v>54</v>
      </c>
      <c r="BM9" s="2" t="s">
        <v>54</v>
      </c>
      <c r="BN9" s="2" t="s">
        <v>54</v>
      </c>
      <c r="BO9" s="2" t="s">
        <v>54</v>
      </c>
      <c r="BP9" s="2" t="s">
        <v>54</v>
      </c>
      <c r="BQ9" s="2" t="s">
        <v>54</v>
      </c>
      <c r="BR9" s="2" t="s">
        <v>54</v>
      </c>
      <c r="BS9" s="2" t="s">
        <v>54</v>
      </c>
      <c r="BT9" s="371" t="s">
        <v>54</v>
      </c>
      <c r="BU9" s="370" t="s">
        <v>54</v>
      </c>
      <c r="BV9" s="2" t="s">
        <v>54</v>
      </c>
      <c r="BW9" s="381" t="s">
        <v>54</v>
      </c>
      <c r="BX9" s="381" t="s">
        <v>54</v>
      </c>
      <c r="BY9" s="381" t="s">
        <v>54</v>
      </c>
      <c r="BZ9" s="381" t="s">
        <v>54</v>
      </c>
      <c r="CA9" s="381" t="s">
        <v>54</v>
      </c>
      <c r="CB9" s="2" t="s">
        <v>54</v>
      </c>
      <c r="CC9" s="2" t="s">
        <v>54</v>
      </c>
      <c r="CD9" s="2" t="s">
        <v>54</v>
      </c>
      <c r="CE9" s="370" t="s">
        <v>54</v>
      </c>
      <c r="CF9" s="2" t="s">
        <v>54</v>
      </c>
      <c r="CG9" s="381" t="s">
        <v>54</v>
      </c>
      <c r="CH9" s="381" t="s">
        <v>54</v>
      </c>
      <c r="CI9" s="381" t="s">
        <v>54</v>
      </c>
      <c r="CJ9" s="2" t="s">
        <v>54</v>
      </c>
      <c r="CK9" s="2" t="s">
        <v>54</v>
      </c>
      <c r="CL9" s="2" t="s">
        <v>54</v>
      </c>
      <c r="CM9" s="535"/>
      <c r="CN9" s="535"/>
      <c r="CO9" s="498"/>
      <c r="CP9" s="498"/>
      <c r="CQ9" s="498"/>
      <c r="CR9" s="498"/>
      <c r="CS9" s="498"/>
      <c r="CT9" s="498"/>
      <c r="CU9" s="498"/>
      <c r="CV9" s="498"/>
      <c r="CW9" s="498"/>
      <c r="CX9" s="498"/>
      <c r="CY9" s="498"/>
      <c r="CZ9" s="498"/>
      <c r="DA9" s="498"/>
      <c r="DB9" s="498"/>
      <c r="DC9" s="498"/>
      <c r="DD9" s="498"/>
      <c r="DE9" s="498"/>
      <c r="DF9" s="498"/>
      <c r="DG9" s="498"/>
      <c r="DH9" s="498"/>
      <c r="DI9" s="498"/>
      <c r="DJ9" s="498"/>
      <c r="DK9" s="498"/>
      <c r="DL9" s="498"/>
      <c r="DM9" s="381" t="s">
        <v>54</v>
      </c>
      <c r="DN9" s="488"/>
      <c r="DO9" s="381" t="s">
        <v>54</v>
      </c>
      <c r="DP9" s="385" t="s">
        <v>54</v>
      </c>
      <c r="DQ9" s="385" t="s">
        <v>54</v>
      </c>
      <c r="DR9" s="381" t="s">
        <v>54</v>
      </c>
      <c r="DS9" s="381" t="s">
        <v>54</v>
      </c>
      <c r="DT9" s="381" t="s">
        <v>54</v>
      </c>
      <c r="DU9" s="381" t="s">
        <v>54</v>
      </c>
      <c r="DV9" s="381" t="s">
        <v>54</v>
      </c>
      <c r="DW9" s="381" t="s">
        <v>54</v>
      </c>
      <c r="DX9" s="490"/>
      <c r="DY9" s="405" t="s">
        <v>54</v>
      </c>
      <c r="DZ9" s="490"/>
      <c r="EA9" s="405" t="s">
        <v>54</v>
      </c>
      <c r="EB9" s="405" t="s">
        <v>54</v>
      </c>
      <c r="EC9" s="405" t="s">
        <v>54</v>
      </c>
      <c r="ED9" s="381" t="s">
        <v>54</v>
      </c>
      <c r="EE9" s="381" t="s">
        <v>54</v>
      </c>
      <c r="EF9" s="381" t="s">
        <v>54</v>
      </c>
      <c r="EG9" s="381" t="s">
        <v>54</v>
      </c>
      <c r="EH9" s="381" t="s">
        <v>54</v>
      </c>
      <c r="EI9" s="381" t="s">
        <v>54</v>
      </c>
      <c r="EJ9" s="381" t="s">
        <v>54</v>
      </c>
      <c r="EK9" s="381" t="s">
        <v>54</v>
      </c>
      <c r="EL9" s="381" t="s">
        <v>54</v>
      </c>
      <c r="EM9" s="381" t="s">
        <v>54</v>
      </c>
      <c r="EN9" s="381" t="s">
        <v>54</v>
      </c>
      <c r="EO9" s="381" t="s">
        <v>54</v>
      </c>
      <c r="EP9" s="381" t="s">
        <v>54</v>
      </c>
      <c r="EQ9" s="381" t="s">
        <v>54</v>
      </c>
      <c r="ER9" s="381" t="s">
        <v>54</v>
      </c>
      <c r="ES9" s="381" t="s">
        <v>54</v>
      </c>
      <c r="ET9" s="381" t="s">
        <v>54</v>
      </c>
      <c r="EU9" s="381" t="s">
        <v>54</v>
      </c>
    </row>
    <row r="10" spans="1:151" s="1" customFormat="1" ht="19.899999999999999" customHeight="1">
      <c r="A10" s="491">
        <v>2</v>
      </c>
      <c r="B10" s="491">
        <v>3</v>
      </c>
      <c r="C10" s="486" t="s">
        <v>2797</v>
      </c>
      <c r="D10" s="495" t="s">
        <v>2696</v>
      </c>
      <c r="E10" s="548" t="s">
        <v>2671</v>
      </c>
      <c r="F10" s="538" t="s">
        <v>2679</v>
      </c>
      <c r="G10" s="512" t="s">
        <v>2899</v>
      </c>
      <c r="H10" s="495" t="s">
        <v>2697</v>
      </c>
      <c r="I10" s="538" t="s">
        <v>2680</v>
      </c>
      <c r="J10" s="495" t="s">
        <v>2681</v>
      </c>
      <c r="K10" s="516" t="s">
        <v>3104</v>
      </c>
      <c r="L10" s="495" t="s">
        <v>3133</v>
      </c>
      <c r="M10" s="491" t="s">
        <v>2874</v>
      </c>
      <c r="N10" s="486" t="s">
        <v>3133</v>
      </c>
      <c r="O10" s="512" t="s">
        <v>2879</v>
      </c>
      <c r="P10" s="517" t="s">
        <v>2922</v>
      </c>
      <c r="Q10" s="495">
        <v>2</v>
      </c>
      <c r="R10" s="2" t="s">
        <v>2722</v>
      </c>
      <c r="S10" s="382" t="s">
        <v>52</v>
      </c>
      <c r="T10" s="371" t="s">
        <v>2757</v>
      </c>
      <c r="U10" s="373">
        <v>5.7</v>
      </c>
      <c r="V10" s="2">
        <v>10.6</v>
      </c>
      <c r="W10" s="372">
        <v>734</v>
      </c>
      <c r="X10" s="489">
        <v>1099</v>
      </c>
      <c r="Y10" s="372">
        <v>69.5</v>
      </c>
      <c r="Z10" s="520">
        <v>69.666060054595093</v>
      </c>
      <c r="AA10" s="383">
        <v>734</v>
      </c>
      <c r="AB10" s="491">
        <f>AA10+AA11</f>
        <v>1099</v>
      </c>
      <c r="AC10" s="2">
        <v>675</v>
      </c>
      <c r="AD10" s="495">
        <f>AC10+AC11</f>
        <v>1014</v>
      </c>
      <c r="AE10" s="404" t="s">
        <v>52</v>
      </c>
      <c r="AF10" s="372" t="s">
        <v>3139</v>
      </c>
      <c r="AG10" s="373" t="s">
        <v>3140</v>
      </c>
      <c r="AH10" s="373">
        <v>122.5</v>
      </c>
      <c r="AI10" s="373">
        <v>5.5</v>
      </c>
      <c r="AJ10" s="528" t="s">
        <v>2714</v>
      </c>
      <c r="AK10" s="533" t="s">
        <v>3316</v>
      </c>
      <c r="AL10" s="533">
        <v>1583</v>
      </c>
      <c r="AM10" s="533">
        <v>1099</v>
      </c>
      <c r="AN10" s="533">
        <v>0</v>
      </c>
      <c r="AO10" s="533" t="s">
        <v>2743</v>
      </c>
      <c r="AP10" s="3">
        <v>734</v>
      </c>
      <c r="AQ10" s="543">
        <f t="shared" ref="AQ10" si="1">AP10+AP11</f>
        <v>1099</v>
      </c>
      <c r="AR10" s="2">
        <v>17</v>
      </c>
      <c r="AS10" s="366">
        <v>15.2</v>
      </c>
      <c r="AT10" s="366">
        <v>19.899999999999999</v>
      </c>
      <c r="AU10" s="2">
        <v>0.88600000000000001</v>
      </c>
      <c r="AV10" s="2">
        <v>0.73899999999999999</v>
      </c>
      <c r="AW10" s="2">
        <v>1.0620000000000001</v>
      </c>
      <c r="AX10" s="2">
        <v>0.1898</v>
      </c>
      <c r="AY10" s="380" t="s">
        <v>52</v>
      </c>
      <c r="AZ10" s="380" t="s">
        <v>52</v>
      </c>
      <c r="BA10" s="536" t="s">
        <v>2808</v>
      </c>
      <c r="BB10" s="377">
        <v>734</v>
      </c>
      <c r="BC10" s="543">
        <v>1099</v>
      </c>
      <c r="BD10" s="377">
        <v>8.3000000000000007</v>
      </c>
      <c r="BE10" s="377">
        <v>7.8</v>
      </c>
      <c r="BF10" s="377">
        <v>8.5</v>
      </c>
      <c r="BG10" s="3">
        <v>0.76</v>
      </c>
      <c r="BH10" s="3">
        <v>0.65300000000000002</v>
      </c>
      <c r="BI10" s="3">
        <v>0.88500000000000001</v>
      </c>
      <c r="BJ10" s="3" t="s">
        <v>2809</v>
      </c>
      <c r="BK10" s="406" t="s">
        <v>52</v>
      </c>
      <c r="BL10" s="2">
        <v>734</v>
      </c>
      <c r="BM10" s="2">
        <v>5.5</v>
      </c>
      <c r="BN10" s="2">
        <v>4.4000000000000004</v>
      </c>
      <c r="BO10" s="2">
        <v>5.6</v>
      </c>
      <c r="BP10" s="2">
        <v>0.69799999999999995</v>
      </c>
      <c r="BQ10" s="2">
        <v>0.60199999999999998</v>
      </c>
      <c r="BR10" s="2">
        <v>0.80900000000000005</v>
      </c>
      <c r="BS10" s="2" t="s">
        <v>2809</v>
      </c>
      <c r="BT10" s="2" t="s">
        <v>52</v>
      </c>
      <c r="BU10" s="370">
        <v>280</v>
      </c>
      <c r="BV10" s="3">
        <v>48</v>
      </c>
      <c r="BW10" s="381" t="s">
        <v>52</v>
      </c>
      <c r="BX10" s="381">
        <v>1</v>
      </c>
      <c r="BY10" s="381" t="s">
        <v>52</v>
      </c>
      <c r="BZ10" s="384">
        <v>47</v>
      </c>
      <c r="CA10" s="381" t="s">
        <v>52</v>
      </c>
      <c r="CB10" s="2" t="s">
        <v>3141</v>
      </c>
      <c r="CC10" s="2">
        <v>734</v>
      </c>
      <c r="CD10" s="2">
        <v>183</v>
      </c>
      <c r="CE10" s="370">
        <v>732</v>
      </c>
      <c r="CF10" s="2" t="s">
        <v>52</v>
      </c>
      <c r="CG10" s="381" t="s">
        <v>52</v>
      </c>
      <c r="CH10" s="381" t="s">
        <v>52</v>
      </c>
      <c r="CI10" s="384">
        <v>717</v>
      </c>
      <c r="CJ10" s="2">
        <v>734</v>
      </c>
      <c r="CK10" s="2">
        <v>330</v>
      </c>
      <c r="CL10" s="3" t="s">
        <v>2840</v>
      </c>
      <c r="CM10" s="528" t="s">
        <v>54</v>
      </c>
      <c r="CN10" s="528" t="s">
        <v>54</v>
      </c>
      <c r="CO10" s="495" t="s">
        <v>54</v>
      </c>
      <c r="CP10" s="495" t="s">
        <v>54</v>
      </c>
      <c r="CQ10" s="495" t="s">
        <v>54</v>
      </c>
      <c r="CR10" s="495" t="s">
        <v>54</v>
      </c>
      <c r="CS10" s="495" t="s">
        <v>54</v>
      </c>
      <c r="CT10" s="495" t="s">
        <v>54</v>
      </c>
      <c r="CU10" s="495" t="s">
        <v>54</v>
      </c>
      <c r="CV10" s="495" t="s">
        <v>54</v>
      </c>
      <c r="CW10" s="495" t="s">
        <v>54</v>
      </c>
      <c r="CX10" s="495" t="s">
        <v>54</v>
      </c>
      <c r="CY10" s="495" t="s">
        <v>54</v>
      </c>
      <c r="CZ10" s="495" t="s">
        <v>54</v>
      </c>
      <c r="DA10" s="495" t="s">
        <v>54</v>
      </c>
      <c r="DB10" s="495" t="s">
        <v>54</v>
      </c>
      <c r="DC10" s="495" t="s">
        <v>54</v>
      </c>
      <c r="DD10" s="495" t="s">
        <v>54</v>
      </c>
      <c r="DE10" s="495" t="s">
        <v>54</v>
      </c>
      <c r="DF10" s="495" t="s">
        <v>54</v>
      </c>
      <c r="DG10" s="495" t="s">
        <v>54</v>
      </c>
      <c r="DH10" s="495" t="s">
        <v>54</v>
      </c>
      <c r="DI10" s="495" t="s">
        <v>54</v>
      </c>
      <c r="DJ10" s="495" t="s">
        <v>54</v>
      </c>
      <c r="DK10" s="495" t="s">
        <v>54</v>
      </c>
      <c r="DL10" s="495" t="s">
        <v>54</v>
      </c>
      <c r="DM10" s="381" t="s">
        <v>54</v>
      </c>
      <c r="DN10" s="486" t="s">
        <v>54</v>
      </c>
      <c r="DO10" s="381" t="s">
        <v>54</v>
      </c>
      <c r="DP10" s="385" t="s">
        <v>54</v>
      </c>
      <c r="DQ10" s="385" t="s">
        <v>54</v>
      </c>
      <c r="DR10" s="381" t="s">
        <v>54</v>
      </c>
      <c r="DS10" s="381" t="s">
        <v>54</v>
      </c>
      <c r="DT10" s="381" t="s">
        <v>54</v>
      </c>
      <c r="DU10" s="381" t="s">
        <v>54</v>
      </c>
      <c r="DV10" s="381" t="s">
        <v>54</v>
      </c>
      <c r="DW10" s="381" t="s">
        <v>54</v>
      </c>
      <c r="DX10" s="489" t="s">
        <v>54</v>
      </c>
      <c r="DY10" s="405" t="s">
        <v>54</v>
      </c>
      <c r="DZ10" s="489" t="s">
        <v>54</v>
      </c>
      <c r="EA10" s="405" t="s">
        <v>54</v>
      </c>
      <c r="EB10" s="405" t="s">
        <v>54</v>
      </c>
      <c r="EC10" s="405" t="s">
        <v>54</v>
      </c>
      <c r="ED10" s="381" t="s">
        <v>54</v>
      </c>
      <c r="EE10" s="381" t="s">
        <v>54</v>
      </c>
      <c r="EF10" s="381" t="s">
        <v>54</v>
      </c>
      <c r="EG10" s="381" t="s">
        <v>54</v>
      </c>
      <c r="EH10" s="381" t="s">
        <v>54</v>
      </c>
      <c r="EI10" s="381" t="s">
        <v>54</v>
      </c>
      <c r="EJ10" s="381" t="s">
        <v>54</v>
      </c>
      <c r="EK10" s="381" t="s">
        <v>54</v>
      </c>
      <c r="EL10" s="381" t="s">
        <v>54</v>
      </c>
      <c r="EM10" s="381" t="s">
        <v>54</v>
      </c>
      <c r="EN10" s="381" t="s">
        <v>54</v>
      </c>
      <c r="EO10" s="381" t="s">
        <v>54</v>
      </c>
      <c r="EP10" s="381" t="s">
        <v>54</v>
      </c>
      <c r="EQ10" s="381" t="s">
        <v>54</v>
      </c>
      <c r="ER10" s="381" t="s">
        <v>54</v>
      </c>
      <c r="ES10" s="381" t="s">
        <v>54</v>
      </c>
      <c r="ET10" s="381" t="s">
        <v>54</v>
      </c>
      <c r="EU10" s="381" t="s">
        <v>54</v>
      </c>
    </row>
    <row r="11" spans="1:151" s="1" customFormat="1" ht="19.899999999999999" customHeight="1">
      <c r="A11" s="492"/>
      <c r="B11" s="492"/>
      <c r="C11" s="487"/>
      <c r="D11" s="506"/>
      <c r="E11" s="506"/>
      <c r="F11" s="539"/>
      <c r="G11" s="513"/>
      <c r="H11" s="506"/>
      <c r="I11" s="539"/>
      <c r="J11" s="506"/>
      <c r="K11" s="492"/>
      <c r="L11" s="496"/>
      <c r="M11" s="492"/>
      <c r="N11" s="487"/>
      <c r="O11" s="513"/>
      <c r="P11" s="531"/>
      <c r="Q11" s="496"/>
      <c r="R11" s="2" t="s">
        <v>2721</v>
      </c>
      <c r="S11" s="382" t="s">
        <v>52</v>
      </c>
      <c r="T11" s="371" t="s">
        <v>2757</v>
      </c>
      <c r="U11" s="373">
        <v>4.5999999999999996</v>
      </c>
      <c r="V11" s="2">
        <v>10.7</v>
      </c>
      <c r="W11" s="372">
        <v>365</v>
      </c>
      <c r="X11" s="490"/>
      <c r="Y11" s="372">
        <v>70</v>
      </c>
      <c r="Z11" s="521"/>
      <c r="AA11" s="383">
        <v>365</v>
      </c>
      <c r="AB11" s="492"/>
      <c r="AC11" s="2">
        <v>339</v>
      </c>
      <c r="AD11" s="496"/>
      <c r="AE11" s="404" t="s">
        <v>52</v>
      </c>
      <c r="AF11" s="372" t="s">
        <v>3142</v>
      </c>
      <c r="AG11" s="373" t="s">
        <v>3143</v>
      </c>
      <c r="AH11" s="373">
        <v>134</v>
      </c>
      <c r="AI11" s="373">
        <v>5.7</v>
      </c>
      <c r="AJ11" s="529"/>
      <c r="AK11" s="533"/>
      <c r="AL11" s="533"/>
      <c r="AM11" s="533"/>
      <c r="AN11" s="533"/>
      <c r="AO11" s="533"/>
      <c r="AP11" s="3">
        <v>365</v>
      </c>
      <c r="AQ11" s="546"/>
      <c r="AR11" s="2">
        <v>15.2</v>
      </c>
      <c r="AS11" s="366">
        <v>13.5</v>
      </c>
      <c r="AT11" s="366">
        <v>16.899999999999999</v>
      </c>
      <c r="AU11" s="2" t="s">
        <v>52</v>
      </c>
      <c r="AV11" s="2" t="s">
        <v>52</v>
      </c>
      <c r="AW11" s="2" t="s">
        <v>52</v>
      </c>
      <c r="AX11" s="2" t="s">
        <v>52</v>
      </c>
      <c r="AY11" s="2" t="s">
        <v>52</v>
      </c>
      <c r="AZ11" s="2" t="s">
        <v>52</v>
      </c>
      <c r="BA11" s="537"/>
      <c r="BB11" s="377">
        <v>365</v>
      </c>
      <c r="BC11" s="546"/>
      <c r="BD11" s="377">
        <v>5.7</v>
      </c>
      <c r="BE11" s="377">
        <v>5.5</v>
      </c>
      <c r="BF11" s="377">
        <v>7</v>
      </c>
      <c r="BG11" s="2" t="s">
        <v>52</v>
      </c>
      <c r="BH11" s="2" t="s">
        <v>52</v>
      </c>
      <c r="BI11" s="2" t="s">
        <v>52</v>
      </c>
      <c r="BJ11" s="2" t="s">
        <v>52</v>
      </c>
      <c r="BK11" s="406" t="s">
        <v>52</v>
      </c>
      <c r="BL11" s="2">
        <v>365</v>
      </c>
      <c r="BM11" s="2">
        <v>2.9</v>
      </c>
      <c r="BN11" s="2">
        <v>2.83</v>
      </c>
      <c r="BO11" s="2">
        <v>2.89</v>
      </c>
      <c r="BP11" s="2" t="s">
        <v>52</v>
      </c>
      <c r="BQ11" s="2" t="s">
        <v>52</v>
      </c>
      <c r="BR11" s="2" t="s">
        <v>52</v>
      </c>
      <c r="BS11" s="2" t="s">
        <v>52</v>
      </c>
      <c r="BT11" s="2" t="s">
        <v>52</v>
      </c>
      <c r="BU11" s="370">
        <v>146</v>
      </c>
      <c r="BV11" s="3">
        <v>4</v>
      </c>
      <c r="BW11" s="381" t="s">
        <v>52</v>
      </c>
      <c r="BX11" s="381">
        <v>0</v>
      </c>
      <c r="BY11" s="381" t="s">
        <v>52</v>
      </c>
      <c r="BZ11" s="384">
        <v>4</v>
      </c>
      <c r="CA11" s="381" t="s">
        <v>52</v>
      </c>
      <c r="CB11" s="2" t="s">
        <v>3144</v>
      </c>
      <c r="CC11" s="2">
        <v>365</v>
      </c>
      <c r="CD11" s="2">
        <v>36</v>
      </c>
      <c r="CE11" s="370">
        <v>363</v>
      </c>
      <c r="CF11" s="2" t="s">
        <v>52</v>
      </c>
      <c r="CG11" s="381" t="s">
        <v>52</v>
      </c>
      <c r="CH11" s="381" t="s">
        <v>52</v>
      </c>
      <c r="CI11" s="384">
        <v>345</v>
      </c>
      <c r="CJ11" s="2">
        <v>365</v>
      </c>
      <c r="CK11" s="2">
        <v>183</v>
      </c>
      <c r="CL11" s="3" t="s">
        <v>2841</v>
      </c>
      <c r="CM11" s="534"/>
      <c r="CN11" s="534"/>
      <c r="CO11" s="496"/>
      <c r="CP11" s="496"/>
      <c r="CQ11" s="496"/>
      <c r="CR11" s="496"/>
      <c r="CS11" s="496"/>
      <c r="CT11" s="496"/>
      <c r="CU11" s="496"/>
      <c r="CV11" s="496"/>
      <c r="CW11" s="496"/>
      <c r="CX11" s="496"/>
      <c r="CY11" s="496"/>
      <c r="CZ11" s="496"/>
      <c r="DA11" s="496"/>
      <c r="DB11" s="496"/>
      <c r="DC11" s="496"/>
      <c r="DD11" s="496"/>
      <c r="DE11" s="496"/>
      <c r="DF11" s="496"/>
      <c r="DG11" s="496"/>
      <c r="DH11" s="496"/>
      <c r="DI11" s="496"/>
      <c r="DJ11" s="496"/>
      <c r="DK11" s="496"/>
      <c r="DL11" s="496"/>
      <c r="DM11" s="381" t="s">
        <v>54</v>
      </c>
      <c r="DN11" s="487"/>
      <c r="DO11" s="381" t="s">
        <v>54</v>
      </c>
      <c r="DP11" s="385" t="s">
        <v>54</v>
      </c>
      <c r="DQ11" s="385" t="s">
        <v>54</v>
      </c>
      <c r="DR11" s="381" t="s">
        <v>54</v>
      </c>
      <c r="DS11" s="381" t="s">
        <v>54</v>
      </c>
      <c r="DT11" s="381" t="s">
        <v>54</v>
      </c>
      <c r="DU11" s="381" t="s">
        <v>54</v>
      </c>
      <c r="DV11" s="381" t="s">
        <v>54</v>
      </c>
      <c r="DW11" s="381" t="s">
        <v>54</v>
      </c>
      <c r="DX11" s="490"/>
      <c r="DY11" s="405" t="s">
        <v>54</v>
      </c>
      <c r="DZ11" s="490"/>
      <c r="EA11" s="405" t="s">
        <v>54</v>
      </c>
      <c r="EB11" s="405" t="s">
        <v>54</v>
      </c>
      <c r="EC11" s="405" t="s">
        <v>54</v>
      </c>
      <c r="ED11" s="381" t="s">
        <v>54</v>
      </c>
      <c r="EE11" s="381" t="s">
        <v>54</v>
      </c>
      <c r="EF11" s="381" t="s">
        <v>54</v>
      </c>
      <c r="EG11" s="381" t="s">
        <v>54</v>
      </c>
      <c r="EH11" s="381" t="s">
        <v>54</v>
      </c>
      <c r="EI11" s="381" t="s">
        <v>54</v>
      </c>
      <c r="EJ11" s="381" t="s">
        <v>54</v>
      </c>
      <c r="EK11" s="381" t="s">
        <v>54</v>
      </c>
      <c r="EL11" s="381" t="s">
        <v>54</v>
      </c>
      <c r="EM11" s="381" t="s">
        <v>54</v>
      </c>
      <c r="EN11" s="381" t="s">
        <v>54</v>
      </c>
      <c r="EO11" s="381" t="s">
        <v>54</v>
      </c>
      <c r="EP11" s="381" t="s">
        <v>54</v>
      </c>
      <c r="EQ11" s="381" t="s">
        <v>54</v>
      </c>
      <c r="ER11" s="381" t="s">
        <v>54</v>
      </c>
      <c r="ES11" s="381" t="s">
        <v>54</v>
      </c>
      <c r="ET11" s="381" t="s">
        <v>54</v>
      </c>
      <c r="EU11" s="381" t="s">
        <v>54</v>
      </c>
    </row>
    <row r="12" spans="1:151" s="1" customFormat="1" ht="19.899999999999999" customHeight="1">
      <c r="A12" s="493"/>
      <c r="B12" s="493"/>
      <c r="C12" s="487"/>
      <c r="D12" s="507"/>
      <c r="E12" s="507"/>
      <c r="F12" s="540"/>
      <c r="G12" s="514"/>
      <c r="H12" s="507"/>
      <c r="I12" s="540"/>
      <c r="J12" s="507"/>
      <c r="K12" s="493"/>
      <c r="L12" s="497"/>
      <c r="M12" s="493"/>
      <c r="N12" s="487"/>
      <c r="O12" s="514"/>
      <c r="P12" s="531"/>
      <c r="Q12" s="497"/>
      <c r="R12" s="2" t="s">
        <v>54</v>
      </c>
      <c r="S12" s="382" t="s">
        <v>54</v>
      </c>
      <c r="T12" s="371" t="s">
        <v>54</v>
      </c>
      <c r="U12" s="373" t="s">
        <v>54</v>
      </c>
      <c r="V12" s="2" t="s">
        <v>54</v>
      </c>
      <c r="W12" s="372" t="s">
        <v>54</v>
      </c>
      <c r="X12" s="490"/>
      <c r="Y12" s="372" t="s">
        <v>54</v>
      </c>
      <c r="Z12" s="521"/>
      <c r="AA12" s="383" t="s">
        <v>54</v>
      </c>
      <c r="AB12" s="493"/>
      <c r="AC12" s="2" t="s">
        <v>54</v>
      </c>
      <c r="AD12" s="497"/>
      <c r="AE12" s="405" t="s">
        <v>54</v>
      </c>
      <c r="AF12" s="372" t="s">
        <v>54</v>
      </c>
      <c r="AG12" s="372" t="s">
        <v>54</v>
      </c>
      <c r="AH12" s="372" t="s">
        <v>54</v>
      </c>
      <c r="AI12" s="372" t="s">
        <v>54</v>
      </c>
      <c r="AJ12" s="529"/>
      <c r="AK12" s="533"/>
      <c r="AL12" s="533"/>
      <c r="AM12" s="533"/>
      <c r="AN12" s="533"/>
      <c r="AO12" s="533"/>
      <c r="AP12" s="2" t="s">
        <v>54</v>
      </c>
      <c r="AQ12" s="546"/>
      <c r="AR12" s="2" t="s">
        <v>54</v>
      </c>
      <c r="AS12" s="366" t="s">
        <v>54</v>
      </c>
      <c r="AT12" s="366" t="s">
        <v>54</v>
      </c>
      <c r="AU12" s="2" t="s">
        <v>54</v>
      </c>
      <c r="AV12" s="2" t="s">
        <v>54</v>
      </c>
      <c r="AW12" s="2" t="s">
        <v>54</v>
      </c>
      <c r="AX12" s="2" t="s">
        <v>54</v>
      </c>
      <c r="AY12" s="380" t="s">
        <v>54</v>
      </c>
      <c r="AZ12" s="378" t="s">
        <v>54</v>
      </c>
      <c r="BA12" s="537"/>
      <c r="BB12" s="378" t="s">
        <v>54</v>
      </c>
      <c r="BC12" s="546"/>
      <c r="BD12" s="378" t="s">
        <v>54</v>
      </c>
      <c r="BE12" s="378" t="s">
        <v>54</v>
      </c>
      <c r="BF12" s="378" t="s">
        <v>54</v>
      </c>
      <c r="BG12" s="2" t="s">
        <v>54</v>
      </c>
      <c r="BH12" s="2" t="s">
        <v>54</v>
      </c>
      <c r="BI12" s="2" t="s">
        <v>54</v>
      </c>
      <c r="BJ12" s="2" t="s">
        <v>54</v>
      </c>
      <c r="BK12" s="371" t="s">
        <v>54</v>
      </c>
      <c r="BL12" s="2" t="s">
        <v>54</v>
      </c>
      <c r="BM12" s="2" t="s">
        <v>54</v>
      </c>
      <c r="BN12" s="2" t="s">
        <v>54</v>
      </c>
      <c r="BO12" s="2" t="s">
        <v>54</v>
      </c>
      <c r="BP12" s="2" t="s">
        <v>54</v>
      </c>
      <c r="BQ12" s="2" t="s">
        <v>54</v>
      </c>
      <c r="BR12" s="2" t="s">
        <v>54</v>
      </c>
      <c r="BS12" s="2" t="s">
        <v>54</v>
      </c>
      <c r="BT12" s="2" t="s">
        <v>54</v>
      </c>
      <c r="BU12" s="370" t="s">
        <v>54</v>
      </c>
      <c r="BV12" s="2" t="s">
        <v>54</v>
      </c>
      <c r="BW12" s="381" t="s">
        <v>54</v>
      </c>
      <c r="BX12" s="381" t="s">
        <v>54</v>
      </c>
      <c r="BY12" s="381" t="s">
        <v>54</v>
      </c>
      <c r="BZ12" s="381" t="s">
        <v>54</v>
      </c>
      <c r="CA12" s="381" t="s">
        <v>54</v>
      </c>
      <c r="CB12" s="2" t="s">
        <v>54</v>
      </c>
      <c r="CC12" s="2" t="s">
        <v>54</v>
      </c>
      <c r="CD12" s="2" t="s">
        <v>54</v>
      </c>
      <c r="CE12" s="370" t="s">
        <v>54</v>
      </c>
      <c r="CF12" s="2" t="s">
        <v>54</v>
      </c>
      <c r="CG12" s="381" t="s">
        <v>54</v>
      </c>
      <c r="CH12" s="381" t="s">
        <v>54</v>
      </c>
      <c r="CI12" s="381" t="s">
        <v>54</v>
      </c>
      <c r="CJ12" s="2" t="s">
        <v>54</v>
      </c>
      <c r="CK12" s="2" t="s">
        <v>54</v>
      </c>
      <c r="CL12" s="2" t="s">
        <v>54</v>
      </c>
      <c r="CM12" s="534"/>
      <c r="CN12" s="534"/>
      <c r="CO12" s="497"/>
      <c r="CP12" s="497"/>
      <c r="CQ12" s="497"/>
      <c r="CR12" s="497"/>
      <c r="CS12" s="497"/>
      <c r="CT12" s="497"/>
      <c r="CU12" s="497"/>
      <c r="CV12" s="497"/>
      <c r="CW12" s="497"/>
      <c r="CX12" s="497"/>
      <c r="CY12" s="497"/>
      <c r="CZ12" s="497"/>
      <c r="DA12" s="497"/>
      <c r="DB12" s="497"/>
      <c r="DC12" s="497"/>
      <c r="DD12" s="497"/>
      <c r="DE12" s="497"/>
      <c r="DF12" s="497"/>
      <c r="DG12" s="497"/>
      <c r="DH12" s="497"/>
      <c r="DI12" s="497"/>
      <c r="DJ12" s="497"/>
      <c r="DK12" s="497"/>
      <c r="DL12" s="497"/>
      <c r="DM12" s="381" t="s">
        <v>54</v>
      </c>
      <c r="DN12" s="487"/>
      <c r="DO12" s="381" t="s">
        <v>54</v>
      </c>
      <c r="DP12" s="385" t="s">
        <v>54</v>
      </c>
      <c r="DQ12" s="385" t="s">
        <v>54</v>
      </c>
      <c r="DR12" s="381" t="s">
        <v>54</v>
      </c>
      <c r="DS12" s="381" t="s">
        <v>54</v>
      </c>
      <c r="DT12" s="381" t="s">
        <v>54</v>
      </c>
      <c r="DU12" s="381" t="s">
        <v>54</v>
      </c>
      <c r="DV12" s="381" t="s">
        <v>54</v>
      </c>
      <c r="DW12" s="381" t="s">
        <v>54</v>
      </c>
      <c r="DX12" s="490"/>
      <c r="DY12" s="405" t="s">
        <v>54</v>
      </c>
      <c r="DZ12" s="490"/>
      <c r="EA12" s="405" t="s">
        <v>54</v>
      </c>
      <c r="EB12" s="405" t="s">
        <v>54</v>
      </c>
      <c r="EC12" s="405" t="s">
        <v>54</v>
      </c>
      <c r="ED12" s="381" t="s">
        <v>54</v>
      </c>
      <c r="EE12" s="381" t="s">
        <v>54</v>
      </c>
      <c r="EF12" s="381" t="s">
        <v>54</v>
      </c>
      <c r="EG12" s="381" t="s">
        <v>54</v>
      </c>
      <c r="EH12" s="381" t="s">
        <v>54</v>
      </c>
      <c r="EI12" s="381" t="s">
        <v>54</v>
      </c>
      <c r="EJ12" s="381" t="s">
        <v>54</v>
      </c>
      <c r="EK12" s="381" t="s">
        <v>54</v>
      </c>
      <c r="EL12" s="381" t="s">
        <v>54</v>
      </c>
      <c r="EM12" s="381" t="s">
        <v>54</v>
      </c>
      <c r="EN12" s="381" t="s">
        <v>54</v>
      </c>
      <c r="EO12" s="381" t="s">
        <v>54</v>
      </c>
      <c r="EP12" s="381" t="s">
        <v>54</v>
      </c>
      <c r="EQ12" s="381" t="s">
        <v>54</v>
      </c>
      <c r="ER12" s="381" t="s">
        <v>54</v>
      </c>
      <c r="ES12" s="381" t="s">
        <v>54</v>
      </c>
      <c r="ET12" s="381" t="s">
        <v>54</v>
      </c>
      <c r="EU12" s="381" t="s">
        <v>54</v>
      </c>
    </row>
    <row r="13" spans="1:151" s="1" customFormat="1" ht="19.899999999999999" customHeight="1">
      <c r="A13" s="494"/>
      <c r="B13" s="494"/>
      <c r="C13" s="488"/>
      <c r="D13" s="508"/>
      <c r="E13" s="508"/>
      <c r="F13" s="541"/>
      <c r="G13" s="515"/>
      <c r="H13" s="508"/>
      <c r="I13" s="541"/>
      <c r="J13" s="508"/>
      <c r="K13" s="494"/>
      <c r="L13" s="498"/>
      <c r="M13" s="494"/>
      <c r="N13" s="488"/>
      <c r="O13" s="515"/>
      <c r="P13" s="532"/>
      <c r="Q13" s="498"/>
      <c r="R13" s="2" t="s">
        <v>54</v>
      </c>
      <c r="S13" s="382" t="s">
        <v>54</v>
      </c>
      <c r="T13" s="371" t="s">
        <v>54</v>
      </c>
      <c r="U13" s="373" t="s">
        <v>54</v>
      </c>
      <c r="V13" s="2" t="s">
        <v>54</v>
      </c>
      <c r="W13" s="372" t="s">
        <v>54</v>
      </c>
      <c r="X13" s="490"/>
      <c r="Y13" s="372" t="s">
        <v>54</v>
      </c>
      <c r="Z13" s="521"/>
      <c r="AA13" s="383" t="s">
        <v>54</v>
      </c>
      <c r="AB13" s="494"/>
      <c r="AC13" s="2" t="s">
        <v>54</v>
      </c>
      <c r="AD13" s="498"/>
      <c r="AE13" s="405" t="s">
        <v>54</v>
      </c>
      <c r="AF13" s="372" t="s">
        <v>54</v>
      </c>
      <c r="AG13" s="372" t="s">
        <v>54</v>
      </c>
      <c r="AH13" s="372" t="s">
        <v>54</v>
      </c>
      <c r="AI13" s="372" t="s">
        <v>54</v>
      </c>
      <c r="AJ13" s="530"/>
      <c r="AK13" s="533"/>
      <c r="AL13" s="533"/>
      <c r="AM13" s="533"/>
      <c r="AN13" s="533"/>
      <c r="AO13" s="533"/>
      <c r="AP13" s="2" t="s">
        <v>54</v>
      </c>
      <c r="AQ13" s="547"/>
      <c r="AR13" s="2" t="s">
        <v>54</v>
      </c>
      <c r="AS13" s="366" t="s">
        <v>54</v>
      </c>
      <c r="AT13" s="366" t="s">
        <v>54</v>
      </c>
      <c r="AU13" s="2" t="s">
        <v>54</v>
      </c>
      <c r="AV13" s="2" t="s">
        <v>54</v>
      </c>
      <c r="AW13" s="2" t="s">
        <v>54</v>
      </c>
      <c r="AX13" s="2" t="s">
        <v>54</v>
      </c>
      <c r="AY13" s="380" t="s">
        <v>54</v>
      </c>
      <c r="AZ13" s="378" t="s">
        <v>54</v>
      </c>
      <c r="BA13" s="537"/>
      <c r="BB13" s="378" t="s">
        <v>54</v>
      </c>
      <c r="BC13" s="547"/>
      <c r="BD13" s="378" t="s">
        <v>54</v>
      </c>
      <c r="BE13" s="378" t="s">
        <v>54</v>
      </c>
      <c r="BF13" s="378" t="s">
        <v>54</v>
      </c>
      <c r="BG13" s="2" t="s">
        <v>54</v>
      </c>
      <c r="BH13" s="2" t="s">
        <v>54</v>
      </c>
      <c r="BI13" s="2" t="s">
        <v>54</v>
      </c>
      <c r="BJ13" s="2" t="s">
        <v>54</v>
      </c>
      <c r="BK13" s="371" t="s">
        <v>54</v>
      </c>
      <c r="BL13" s="2" t="s">
        <v>54</v>
      </c>
      <c r="BM13" s="2" t="s">
        <v>54</v>
      </c>
      <c r="BN13" s="2" t="s">
        <v>54</v>
      </c>
      <c r="BO13" s="2" t="s">
        <v>54</v>
      </c>
      <c r="BP13" s="2" t="s">
        <v>54</v>
      </c>
      <c r="BQ13" s="2" t="s">
        <v>54</v>
      </c>
      <c r="BR13" s="2" t="s">
        <v>54</v>
      </c>
      <c r="BS13" s="2" t="s">
        <v>54</v>
      </c>
      <c r="BT13" s="2" t="s">
        <v>54</v>
      </c>
      <c r="BU13" s="370" t="s">
        <v>54</v>
      </c>
      <c r="BV13" s="2" t="s">
        <v>54</v>
      </c>
      <c r="BW13" s="381" t="s">
        <v>54</v>
      </c>
      <c r="BX13" s="381" t="s">
        <v>54</v>
      </c>
      <c r="BY13" s="381" t="s">
        <v>54</v>
      </c>
      <c r="BZ13" s="381" t="s">
        <v>54</v>
      </c>
      <c r="CA13" s="381" t="s">
        <v>54</v>
      </c>
      <c r="CB13" s="2" t="s">
        <v>54</v>
      </c>
      <c r="CC13" s="2" t="s">
        <v>54</v>
      </c>
      <c r="CD13" s="2" t="s">
        <v>54</v>
      </c>
      <c r="CE13" s="370" t="s">
        <v>54</v>
      </c>
      <c r="CF13" s="2" t="s">
        <v>54</v>
      </c>
      <c r="CG13" s="381" t="s">
        <v>54</v>
      </c>
      <c r="CH13" s="381" t="s">
        <v>54</v>
      </c>
      <c r="CI13" s="381" t="s">
        <v>54</v>
      </c>
      <c r="CJ13" s="2" t="s">
        <v>54</v>
      </c>
      <c r="CK13" s="2" t="s">
        <v>54</v>
      </c>
      <c r="CL13" s="2" t="s">
        <v>54</v>
      </c>
      <c r="CM13" s="535"/>
      <c r="CN13" s="535"/>
      <c r="CO13" s="498"/>
      <c r="CP13" s="498"/>
      <c r="CQ13" s="498"/>
      <c r="CR13" s="498"/>
      <c r="CS13" s="498"/>
      <c r="CT13" s="498"/>
      <c r="CU13" s="498"/>
      <c r="CV13" s="498"/>
      <c r="CW13" s="498"/>
      <c r="CX13" s="498"/>
      <c r="CY13" s="498"/>
      <c r="CZ13" s="498"/>
      <c r="DA13" s="498"/>
      <c r="DB13" s="498"/>
      <c r="DC13" s="498"/>
      <c r="DD13" s="498"/>
      <c r="DE13" s="498"/>
      <c r="DF13" s="498"/>
      <c r="DG13" s="498"/>
      <c r="DH13" s="498"/>
      <c r="DI13" s="498"/>
      <c r="DJ13" s="498"/>
      <c r="DK13" s="498"/>
      <c r="DL13" s="498"/>
      <c r="DM13" s="381" t="s">
        <v>54</v>
      </c>
      <c r="DN13" s="488"/>
      <c r="DO13" s="381" t="s">
        <v>54</v>
      </c>
      <c r="DP13" s="385" t="s">
        <v>54</v>
      </c>
      <c r="DQ13" s="385" t="s">
        <v>54</v>
      </c>
      <c r="DR13" s="381" t="s">
        <v>54</v>
      </c>
      <c r="DS13" s="381" t="s">
        <v>54</v>
      </c>
      <c r="DT13" s="381" t="s">
        <v>54</v>
      </c>
      <c r="DU13" s="381" t="s">
        <v>54</v>
      </c>
      <c r="DV13" s="381" t="s">
        <v>54</v>
      </c>
      <c r="DW13" s="381" t="s">
        <v>54</v>
      </c>
      <c r="DX13" s="490"/>
      <c r="DY13" s="405" t="s">
        <v>54</v>
      </c>
      <c r="DZ13" s="490"/>
      <c r="EA13" s="405" t="s">
        <v>54</v>
      </c>
      <c r="EB13" s="405" t="s">
        <v>54</v>
      </c>
      <c r="EC13" s="405" t="s">
        <v>54</v>
      </c>
      <c r="ED13" s="381" t="s">
        <v>54</v>
      </c>
      <c r="EE13" s="381" t="s">
        <v>54</v>
      </c>
      <c r="EF13" s="381" t="s">
        <v>54</v>
      </c>
      <c r="EG13" s="381" t="s">
        <v>54</v>
      </c>
      <c r="EH13" s="381" t="s">
        <v>54</v>
      </c>
      <c r="EI13" s="381" t="s">
        <v>54</v>
      </c>
      <c r="EJ13" s="381" t="s">
        <v>54</v>
      </c>
      <c r="EK13" s="381" t="s">
        <v>54</v>
      </c>
      <c r="EL13" s="381" t="s">
        <v>54</v>
      </c>
      <c r="EM13" s="381" t="s">
        <v>54</v>
      </c>
      <c r="EN13" s="381" t="s">
        <v>54</v>
      </c>
      <c r="EO13" s="381" t="s">
        <v>54</v>
      </c>
      <c r="EP13" s="381" t="s">
        <v>54</v>
      </c>
      <c r="EQ13" s="381" t="s">
        <v>54</v>
      </c>
      <c r="ER13" s="381" t="s">
        <v>54</v>
      </c>
      <c r="ES13" s="381" t="s">
        <v>54</v>
      </c>
      <c r="ET13" s="381" t="s">
        <v>54</v>
      </c>
      <c r="EU13" s="381" t="s">
        <v>54</v>
      </c>
    </row>
    <row r="14" spans="1:151" s="1" customFormat="1" ht="19.899999999999999" customHeight="1">
      <c r="A14" s="491">
        <v>3</v>
      </c>
      <c r="B14" s="491" t="s">
        <v>3092</v>
      </c>
      <c r="C14" s="486" t="s">
        <v>2797</v>
      </c>
      <c r="D14" s="495" t="s">
        <v>2778</v>
      </c>
      <c r="E14" s="548" t="s">
        <v>2671</v>
      </c>
      <c r="F14" s="549" t="s">
        <v>2871</v>
      </c>
      <c r="G14" s="512" t="s">
        <v>2900</v>
      </c>
      <c r="H14" s="495" t="s">
        <v>2779</v>
      </c>
      <c r="I14" s="549" t="s">
        <v>2901</v>
      </c>
      <c r="J14" s="495" t="s">
        <v>2685</v>
      </c>
      <c r="K14" s="556" t="s">
        <v>3105</v>
      </c>
      <c r="L14" s="495" t="s">
        <v>3133</v>
      </c>
      <c r="M14" s="491" t="s">
        <v>2875</v>
      </c>
      <c r="N14" s="486" t="s">
        <v>3133</v>
      </c>
      <c r="O14" s="512" t="s">
        <v>2880</v>
      </c>
      <c r="P14" s="517" t="s">
        <v>2922</v>
      </c>
      <c r="Q14" s="495">
        <v>2</v>
      </c>
      <c r="R14" s="391" t="s">
        <v>2720</v>
      </c>
      <c r="S14" s="382" t="s">
        <v>52</v>
      </c>
      <c r="T14" s="371" t="s">
        <v>2757</v>
      </c>
      <c r="U14" s="373">
        <v>7.4</v>
      </c>
      <c r="V14" s="2" t="s">
        <v>2788</v>
      </c>
      <c r="W14" s="372">
        <v>797</v>
      </c>
      <c r="X14" s="489">
        <v>1195</v>
      </c>
      <c r="Y14" s="372">
        <v>69</v>
      </c>
      <c r="Z14" s="520">
        <v>69</v>
      </c>
      <c r="AA14" s="383">
        <v>797</v>
      </c>
      <c r="AB14" s="491">
        <f>AA14+AA15</f>
        <v>1195</v>
      </c>
      <c r="AC14" s="2">
        <v>715</v>
      </c>
      <c r="AD14" s="495">
        <f>AC14+AC15</f>
        <v>1068</v>
      </c>
      <c r="AE14" s="404" t="s">
        <v>52</v>
      </c>
      <c r="AF14" s="372" t="s">
        <v>2768</v>
      </c>
      <c r="AG14" s="373" t="s">
        <v>3145</v>
      </c>
      <c r="AH14" s="373">
        <v>129</v>
      </c>
      <c r="AI14" s="387" t="s">
        <v>52</v>
      </c>
      <c r="AJ14" s="528" t="s">
        <v>2714</v>
      </c>
      <c r="AK14" s="533" t="s">
        <v>3317</v>
      </c>
      <c r="AL14" s="533">
        <v>1542</v>
      </c>
      <c r="AM14" s="533">
        <v>1195</v>
      </c>
      <c r="AN14" s="533">
        <v>172</v>
      </c>
      <c r="AO14" s="533" t="s">
        <v>2747</v>
      </c>
      <c r="AP14" s="3">
        <v>797</v>
      </c>
      <c r="AQ14" s="543">
        <f t="shared" ref="AQ14" si="2">AP14+AP15</f>
        <v>1195</v>
      </c>
      <c r="AR14" s="2" t="s">
        <v>2802</v>
      </c>
      <c r="AS14" s="366">
        <v>14.8</v>
      </c>
      <c r="AT14" s="366">
        <v>17</v>
      </c>
      <c r="AU14" s="2">
        <v>0.74</v>
      </c>
      <c r="AV14" s="2">
        <v>0.64</v>
      </c>
      <c r="AW14" s="2">
        <v>0.86</v>
      </c>
      <c r="AX14" s="2" t="s">
        <v>2803</v>
      </c>
      <c r="AY14" s="380" t="s">
        <v>52</v>
      </c>
      <c r="AZ14" s="378" t="s">
        <v>52</v>
      </c>
      <c r="BA14" s="536" t="s">
        <v>2808</v>
      </c>
      <c r="BB14" s="377">
        <v>797</v>
      </c>
      <c r="BC14" s="543">
        <v>1195</v>
      </c>
      <c r="BD14" s="377" t="s">
        <v>2810</v>
      </c>
      <c r="BE14" s="377">
        <v>5.6</v>
      </c>
      <c r="BF14" s="377">
        <v>6.5</v>
      </c>
      <c r="BG14" s="3">
        <v>0.66</v>
      </c>
      <c r="BH14" s="3">
        <v>0.57999999999999996</v>
      </c>
      <c r="BI14" s="3">
        <v>0.76</v>
      </c>
      <c r="BJ14" s="3" t="s">
        <v>2811</v>
      </c>
      <c r="BK14" s="406" t="s">
        <v>52</v>
      </c>
      <c r="BL14" s="2">
        <v>797</v>
      </c>
      <c r="BM14" s="2" t="s">
        <v>2829</v>
      </c>
      <c r="BN14" s="2">
        <v>8.3000000000000007</v>
      </c>
      <c r="BO14" s="2">
        <v>11.1</v>
      </c>
      <c r="BP14" s="2" t="s">
        <v>52</v>
      </c>
      <c r="BQ14" s="2" t="s">
        <v>52</v>
      </c>
      <c r="BR14" s="2" t="s">
        <v>52</v>
      </c>
      <c r="BS14" s="2" t="s">
        <v>52</v>
      </c>
      <c r="BT14" s="2" t="s">
        <v>52</v>
      </c>
      <c r="BU14" s="2" t="s">
        <v>52</v>
      </c>
      <c r="BV14" s="3">
        <v>118</v>
      </c>
      <c r="BW14" s="381" t="s">
        <v>52</v>
      </c>
      <c r="BX14" s="381" t="s">
        <v>52</v>
      </c>
      <c r="BY14" s="381" t="s">
        <v>52</v>
      </c>
      <c r="BZ14" s="381" t="s">
        <v>52</v>
      </c>
      <c r="CA14" s="381" t="s">
        <v>52</v>
      </c>
      <c r="CB14" s="2" t="s">
        <v>52</v>
      </c>
      <c r="CC14" s="2">
        <v>797</v>
      </c>
      <c r="CD14" s="2">
        <v>235</v>
      </c>
      <c r="CE14" s="370">
        <v>791</v>
      </c>
      <c r="CF14" s="3">
        <v>182</v>
      </c>
      <c r="CG14" s="381" t="s">
        <v>52</v>
      </c>
      <c r="CH14" s="381" t="s">
        <v>52</v>
      </c>
      <c r="CI14" s="384">
        <v>610</v>
      </c>
      <c r="CJ14" s="2" t="s">
        <v>52</v>
      </c>
      <c r="CK14" s="2">
        <v>333</v>
      </c>
      <c r="CL14" s="3" t="s">
        <v>2847</v>
      </c>
      <c r="CM14" s="528" t="s">
        <v>54</v>
      </c>
      <c r="CN14" s="528" t="s">
        <v>54</v>
      </c>
      <c r="CO14" s="495" t="s">
        <v>54</v>
      </c>
      <c r="CP14" s="495" t="s">
        <v>54</v>
      </c>
      <c r="CQ14" s="495" t="s">
        <v>54</v>
      </c>
      <c r="CR14" s="495" t="s">
        <v>54</v>
      </c>
      <c r="CS14" s="495" t="s">
        <v>54</v>
      </c>
      <c r="CT14" s="495" t="s">
        <v>54</v>
      </c>
      <c r="CU14" s="495" t="s">
        <v>54</v>
      </c>
      <c r="CV14" s="495" t="s">
        <v>54</v>
      </c>
      <c r="CW14" s="495" t="s">
        <v>54</v>
      </c>
      <c r="CX14" s="495" t="s">
        <v>54</v>
      </c>
      <c r="CY14" s="495" t="s">
        <v>54</v>
      </c>
      <c r="CZ14" s="495" t="s">
        <v>54</v>
      </c>
      <c r="DA14" s="495" t="s">
        <v>54</v>
      </c>
      <c r="DB14" s="495" t="s">
        <v>54</v>
      </c>
      <c r="DC14" s="495" t="s">
        <v>54</v>
      </c>
      <c r="DD14" s="495" t="s">
        <v>54</v>
      </c>
      <c r="DE14" s="495" t="s">
        <v>54</v>
      </c>
      <c r="DF14" s="495" t="s">
        <v>54</v>
      </c>
      <c r="DG14" s="495" t="s">
        <v>54</v>
      </c>
      <c r="DH14" s="495" t="s">
        <v>54</v>
      </c>
      <c r="DI14" s="495" t="s">
        <v>54</v>
      </c>
      <c r="DJ14" s="495" t="s">
        <v>54</v>
      </c>
      <c r="DK14" s="495" t="s">
        <v>54</v>
      </c>
      <c r="DL14" s="495" t="s">
        <v>54</v>
      </c>
      <c r="DM14" s="381" t="s">
        <v>54</v>
      </c>
      <c r="DN14" s="486" t="s">
        <v>54</v>
      </c>
      <c r="DO14" s="381" t="s">
        <v>54</v>
      </c>
      <c r="DP14" s="385" t="s">
        <v>54</v>
      </c>
      <c r="DQ14" s="385" t="s">
        <v>54</v>
      </c>
      <c r="DR14" s="381" t="s">
        <v>54</v>
      </c>
      <c r="DS14" s="381" t="s">
        <v>54</v>
      </c>
      <c r="DT14" s="381" t="s">
        <v>54</v>
      </c>
      <c r="DU14" s="381" t="s">
        <v>54</v>
      </c>
      <c r="DV14" s="381" t="s">
        <v>54</v>
      </c>
      <c r="DW14" s="381" t="s">
        <v>54</v>
      </c>
      <c r="DX14" s="489" t="s">
        <v>54</v>
      </c>
      <c r="DY14" s="405" t="s">
        <v>54</v>
      </c>
      <c r="DZ14" s="489" t="s">
        <v>54</v>
      </c>
      <c r="EA14" s="405" t="s">
        <v>54</v>
      </c>
      <c r="EB14" s="405" t="s">
        <v>54</v>
      </c>
      <c r="EC14" s="405" t="s">
        <v>54</v>
      </c>
      <c r="ED14" s="381" t="s">
        <v>54</v>
      </c>
      <c r="EE14" s="381" t="s">
        <v>54</v>
      </c>
      <c r="EF14" s="381" t="s">
        <v>54</v>
      </c>
      <c r="EG14" s="381" t="s">
        <v>54</v>
      </c>
      <c r="EH14" s="381" t="s">
        <v>54</v>
      </c>
      <c r="EI14" s="381" t="s">
        <v>54</v>
      </c>
      <c r="EJ14" s="381" t="s">
        <v>54</v>
      </c>
      <c r="EK14" s="381" t="s">
        <v>54</v>
      </c>
      <c r="EL14" s="381" t="s">
        <v>54</v>
      </c>
      <c r="EM14" s="381" t="s">
        <v>54</v>
      </c>
      <c r="EN14" s="381" t="s">
        <v>54</v>
      </c>
      <c r="EO14" s="381" t="s">
        <v>54</v>
      </c>
      <c r="EP14" s="381" t="s">
        <v>54</v>
      </c>
      <c r="EQ14" s="381" t="s">
        <v>54</v>
      </c>
      <c r="ER14" s="381" t="s">
        <v>54</v>
      </c>
      <c r="ES14" s="381" t="s">
        <v>54</v>
      </c>
      <c r="ET14" s="381" t="s">
        <v>54</v>
      </c>
      <c r="EU14" s="381" t="s">
        <v>54</v>
      </c>
    </row>
    <row r="15" spans="1:151" s="1" customFormat="1" ht="19.899999999999999" customHeight="1">
      <c r="A15" s="492"/>
      <c r="B15" s="492"/>
      <c r="C15" s="487"/>
      <c r="D15" s="506"/>
      <c r="E15" s="506"/>
      <c r="F15" s="539"/>
      <c r="G15" s="513"/>
      <c r="H15" s="506"/>
      <c r="I15" s="539"/>
      <c r="J15" s="506"/>
      <c r="K15" s="492"/>
      <c r="L15" s="496"/>
      <c r="M15" s="492"/>
      <c r="N15" s="487"/>
      <c r="O15" s="513"/>
      <c r="P15" s="531"/>
      <c r="Q15" s="496"/>
      <c r="R15" s="391" t="s">
        <v>2721</v>
      </c>
      <c r="S15" s="382" t="s">
        <v>52</v>
      </c>
      <c r="T15" s="371" t="s">
        <v>2757</v>
      </c>
      <c r="U15" s="373">
        <v>3.6</v>
      </c>
      <c r="V15" s="2" t="s">
        <v>2788</v>
      </c>
      <c r="W15" s="372">
        <v>398</v>
      </c>
      <c r="X15" s="490"/>
      <c r="Y15" s="372">
        <v>69</v>
      </c>
      <c r="Z15" s="521"/>
      <c r="AA15" s="383">
        <v>398</v>
      </c>
      <c r="AB15" s="492"/>
      <c r="AC15" s="2">
        <v>353</v>
      </c>
      <c r="AD15" s="496"/>
      <c r="AE15" s="404" t="s">
        <v>52</v>
      </c>
      <c r="AF15" s="372" t="s">
        <v>2769</v>
      </c>
      <c r="AG15" s="373" t="s">
        <v>3146</v>
      </c>
      <c r="AH15" s="373">
        <v>138</v>
      </c>
      <c r="AI15" s="387" t="s">
        <v>52</v>
      </c>
      <c r="AJ15" s="529"/>
      <c r="AK15" s="533"/>
      <c r="AL15" s="533"/>
      <c r="AM15" s="533"/>
      <c r="AN15" s="533"/>
      <c r="AO15" s="533"/>
      <c r="AP15" s="3">
        <v>398</v>
      </c>
      <c r="AQ15" s="546"/>
      <c r="AR15" s="2">
        <v>11.2</v>
      </c>
      <c r="AS15" s="366">
        <v>10.4</v>
      </c>
      <c r="AT15" s="366">
        <v>13.1</v>
      </c>
      <c r="AU15" s="2" t="s">
        <v>52</v>
      </c>
      <c r="AV15" s="2" t="s">
        <v>52</v>
      </c>
      <c r="AW15" s="2" t="s">
        <v>52</v>
      </c>
      <c r="AX15" s="2" t="s">
        <v>2803</v>
      </c>
      <c r="AY15" s="380" t="s">
        <v>52</v>
      </c>
      <c r="AZ15" s="378" t="s">
        <v>52</v>
      </c>
      <c r="BA15" s="537"/>
      <c r="BB15" s="377">
        <v>398</v>
      </c>
      <c r="BC15" s="546"/>
      <c r="BD15" s="377" t="s">
        <v>2812</v>
      </c>
      <c r="BE15" s="377">
        <v>2.9</v>
      </c>
      <c r="BF15" s="377">
        <v>5.5</v>
      </c>
      <c r="BG15" s="2" t="s">
        <v>52</v>
      </c>
      <c r="BH15" s="2" t="s">
        <v>52</v>
      </c>
      <c r="BI15" s="2" t="s">
        <v>52</v>
      </c>
      <c r="BJ15" s="3" t="s">
        <v>2811</v>
      </c>
      <c r="BK15" s="406" t="s">
        <v>52</v>
      </c>
      <c r="BL15" s="2">
        <v>398</v>
      </c>
      <c r="BM15" s="2" t="s">
        <v>2830</v>
      </c>
      <c r="BN15" s="2">
        <v>5.6</v>
      </c>
      <c r="BO15" s="2">
        <v>8.3000000000000007</v>
      </c>
      <c r="BP15" s="2" t="s">
        <v>52</v>
      </c>
      <c r="BQ15" s="2" t="s">
        <v>52</v>
      </c>
      <c r="BR15" s="2" t="s">
        <v>52</v>
      </c>
      <c r="BS15" s="2" t="s">
        <v>52</v>
      </c>
      <c r="BT15" s="2" t="s">
        <v>52</v>
      </c>
      <c r="BU15" s="2" t="s">
        <v>52</v>
      </c>
      <c r="BV15" s="3">
        <v>13</v>
      </c>
      <c r="BW15" s="381" t="s">
        <v>52</v>
      </c>
      <c r="BX15" s="381" t="s">
        <v>52</v>
      </c>
      <c r="BY15" s="381" t="s">
        <v>52</v>
      </c>
      <c r="BZ15" s="381" t="s">
        <v>52</v>
      </c>
      <c r="CA15" s="381" t="s">
        <v>52</v>
      </c>
      <c r="CB15" s="2" t="s">
        <v>52</v>
      </c>
      <c r="CC15" s="2">
        <v>398</v>
      </c>
      <c r="CD15" s="2">
        <v>22</v>
      </c>
      <c r="CE15" s="370">
        <v>394</v>
      </c>
      <c r="CF15" s="3">
        <v>76</v>
      </c>
      <c r="CG15" s="381" t="s">
        <v>52</v>
      </c>
      <c r="CH15" s="381" t="s">
        <v>52</v>
      </c>
      <c r="CI15" s="384">
        <v>305</v>
      </c>
      <c r="CJ15" s="2" t="s">
        <v>52</v>
      </c>
      <c r="CK15" s="2">
        <v>219</v>
      </c>
      <c r="CL15" s="3" t="s">
        <v>2848</v>
      </c>
      <c r="CM15" s="534"/>
      <c r="CN15" s="534"/>
      <c r="CO15" s="496"/>
      <c r="CP15" s="496"/>
      <c r="CQ15" s="496"/>
      <c r="CR15" s="496"/>
      <c r="CS15" s="496"/>
      <c r="CT15" s="496"/>
      <c r="CU15" s="496"/>
      <c r="CV15" s="496"/>
      <c r="CW15" s="496"/>
      <c r="CX15" s="496"/>
      <c r="CY15" s="496"/>
      <c r="CZ15" s="496"/>
      <c r="DA15" s="496"/>
      <c r="DB15" s="496"/>
      <c r="DC15" s="496"/>
      <c r="DD15" s="496"/>
      <c r="DE15" s="496"/>
      <c r="DF15" s="496"/>
      <c r="DG15" s="496"/>
      <c r="DH15" s="496"/>
      <c r="DI15" s="496"/>
      <c r="DJ15" s="496"/>
      <c r="DK15" s="496"/>
      <c r="DL15" s="496"/>
      <c r="DM15" s="381" t="s">
        <v>54</v>
      </c>
      <c r="DN15" s="487"/>
      <c r="DO15" s="381" t="s">
        <v>54</v>
      </c>
      <c r="DP15" s="385" t="s">
        <v>54</v>
      </c>
      <c r="DQ15" s="385" t="s">
        <v>54</v>
      </c>
      <c r="DR15" s="381" t="s">
        <v>54</v>
      </c>
      <c r="DS15" s="381" t="s">
        <v>54</v>
      </c>
      <c r="DT15" s="381" t="s">
        <v>54</v>
      </c>
      <c r="DU15" s="381" t="s">
        <v>54</v>
      </c>
      <c r="DV15" s="381" t="s">
        <v>54</v>
      </c>
      <c r="DW15" s="381" t="s">
        <v>54</v>
      </c>
      <c r="DX15" s="490"/>
      <c r="DY15" s="405" t="s">
        <v>54</v>
      </c>
      <c r="DZ15" s="490"/>
      <c r="EA15" s="405" t="s">
        <v>54</v>
      </c>
      <c r="EB15" s="405" t="s">
        <v>54</v>
      </c>
      <c r="EC15" s="405" t="s">
        <v>54</v>
      </c>
      <c r="ED15" s="381" t="s">
        <v>54</v>
      </c>
      <c r="EE15" s="381" t="s">
        <v>54</v>
      </c>
      <c r="EF15" s="381" t="s">
        <v>54</v>
      </c>
      <c r="EG15" s="381" t="s">
        <v>54</v>
      </c>
      <c r="EH15" s="381" t="s">
        <v>54</v>
      </c>
      <c r="EI15" s="381" t="s">
        <v>54</v>
      </c>
      <c r="EJ15" s="381" t="s">
        <v>54</v>
      </c>
      <c r="EK15" s="381" t="s">
        <v>54</v>
      </c>
      <c r="EL15" s="381" t="s">
        <v>54</v>
      </c>
      <c r="EM15" s="381" t="s">
        <v>54</v>
      </c>
      <c r="EN15" s="381" t="s">
        <v>54</v>
      </c>
      <c r="EO15" s="381" t="s">
        <v>54</v>
      </c>
      <c r="EP15" s="381" t="s">
        <v>54</v>
      </c>
      <c r="EQ15" s="381" t="s">
        <v>54</v>
      </c>
      <c r="ER15" s="381" t="s">
        <v>54</v>
      </c>
      <c r="ES15" s="381" t="s">
        <v>54</v>
      </c>
      <c r="ET15" s="381" t="s">
        <v>54</v>
      </c>
      <c r="EU15" s="381" t="s">
        <v>54</v>
      </c>
    </row>
    <row r="16" spans="1:151" s="1" customFormat="1" ht="19.899999999999999" customHeight="1">
      <c r="A16" s="493"/>
      <c r="B16" s="493"/>
      <c r="C16" s="487"/>
      <c r="D16" s="507"/>
      <c r="E16" s="507"/>
      <c r="F16" s="540"/>
      <c r="G16" s="514"/>
      <c r="H16" s="507"/>
      <c r="I16" s="540"/>
      <c r="J16" s="507"/>
      <c r="K16" s="493"/>
      <c r="L16" s="497"/>
      <c r="M16" s="493"/>
      <c r="N16" s="487"/>
      <c r="O16" s="514"/>
      <c r="P16" s="531"/>
      <c r="Q16" s="497"/>
      <c r="R16" s="2" t="s">
        <v>54</v>
      </c>
      <c r="S16" s="382" t="s">
        <v>54</v>
      </c>
      <c r="T16" s="371" t="s">
        <v>54</v>
      </c>
      <c r="U16" s="373" t="s">
        <v>54</v>
      </c>
      <c r="V16" s="2" t="s">
        <v>54</v>
      </c>
      <c r="W16" s="372" t="s">
        <v>54</v>
      </c>
      <c r="X16" s="490"/>
      <c r="Y16" s="372" t="s">
        <v>54</v>
      </c>
      <c r="Z16" s="521"/>
      <c r="AA16" s="383" t="s">
        <v>54</v>
      </c>
      <c r="AB16" s="493"/>
      <c r="AC16" s="2" t="s">
        <v>54</v>
      </c>
      <c r="AD16" s="497"/>
      <c r="AE16" s="405" t="s">
        <v>54</v>
      </c>
      <c r="AF16" s="372" t="s">
        <v>54</v>
      </c>
      <c r="AG16" s="372" t="s">
        <v>54</v>
      </c>
      <c r="AH16" s="372" t="s">
        <v>54</v>
      </c>
      <c r="AI16" s="372" t="s">
        <v>54</v>
      </c>
      <c r="AJ16" s="529"/>
      <c r="AK16" s="533"/>
      <c r="AL16" s="533"/>
      <c r="AM16" s="533"/>
      <c r="AN16" s="533"/>
      <c r="AO16" s="533"/>
      <c r="AP16" s="2" t="s">
        <v>54</v>
      </c>
      <c r="AQ16" s="546"/>
      <c r="AR16" s="2" t="s">
        <v>54</v>
      </c>
      <c r="AS16" s="366" t="s">
        <v>54</v>
      </c>
      <c r="AT16" s="366" t="s">
        <v>54</v>
      </c>
      <c r="AU16" s="2" t="s">
        <v>54</v>
      </c>
      <c r="AV16" s="2" t="s">
        <v>54</v>
      </c>
      <c r="AW16" s="2" t="s">
        <v>54</v>
      </c>
      <c r="AX16" s="2" t="s">
        <v>54</v>
      </c>
      <c r="AY16" s="380" t="s">
        <v>54</v>
      </c>
      <c r="AZ16" s="378" t="s">
        <v>54</v>
      </c>
      <c r="BA16" s="537"/>
      <c r="BB16" s="378" t="s">
        <v>54</v>
      </c>
      <c r="BC16" s="546"/>
      <c r="BD16" s="378" t="s">
        <v>54</v>
      </c>
      <c r="BE16" s="378" t="s">
        <v>54</v>
      </c>
      <c r="BF16" s="378" t="s">
        <v>54</v>
      </c>
      <c r="BG16" s="2" t="s">
        <v>54</v>
      </c>
      <c r="BH16" s="2" t="s">
        <v>54</v>
      </c>
      <c r="BI16" s="2" t="s">
        <v>54</v>
      </c>
      <c r="BJ16" s="2" t="s">
        <v>54</v>
      </c>
      <c r="BK16" s="371" t="s">
        <v>54</v>
      </c>
      <c r="BL16" s="2" t="s">
        <v>54</v>
      </c>
      <c r="BM16" s="2" t="s">
        <v>54</v>
      </c>
      <c r="BN16" s="2" t="s">
        <v>54</v>
      </c>
      <c r="BO16" s="2" t="s">
        <v>54</v>
      </c>
      <c r="BP16" s="2" t="s">
        <v>54</v>
      </c>
      <c r="BQ16" s="2" t="s">
        <v>54</v>
      </c>
      <c r="BR16" s="2" t="s">
        <v>54</v>
      </c>
      <c r="BS16" s="2" t="s">
        <v>54</v>
      </c>
      <c r="BT16" s="2" t="s">
        <v>54</v>
      </c>
      <c r="BU16" s="370" t="s">
        <v>54</v>
      </c>
      <c r="BV16" s="2" t="s">
        <v>54</v>
      </c>
      <c r="BW16" s="381" t="s">
        <v>54</v>
      </c>
      <c r="BX16" s="381" t="s">
        <v>54</v>
      </c>
      <c r="BY16" s="381" t="s">
        <v>54</v>
      </c>
      <c r="BZ16" s="381" t="s">
        <v>54</v>
      </c>
      <c r="CA16" s="381" t="s">
        <v>54</v>
      </c>
      <c r="CB16" s="2" t="s">
        <v>54</v>
      </c>
      <c r="CC16" s="2" t="s">
        <v>54</v>
      </c>
      <c r="CD16" s="2" t="s">
        <v>54</v>
      </c>
      <c r="CE16" s="370" t="s">
        <v>54</v>
      </c>
      <c r="CF16" s="2" t="s">
        <v>54</v>
      </c>
      <c r="CG16" s="381" t="s">
        <v>54</v>
      </c>
      <c r="CH16" s="381" t="s">
        <v>54</v>
      </c>
      <c r="CI16" s="381" t="s">
        <v>54</v>
      </c>
      <c r="CJ16" s="2" t="s">
        <v>54</v>
      </c>
      <c r="CK16" s="2" t="s">
        <v>54</v>
      </c>
      <c r="CL16" s="2" t="s">
        <v>54</v>
      </c>
      <c r="CM16" s="534"/>
      <c r="CN16" s="534"/>
      <c r="CO16" s="497"/>
      <c r="CP16" s="497"/>
      <c r="CQ16" s="497"/>
      <c r="CR16" s="497"/>
      <c r="CS16" s="497"/>
      <c r="CT16" s="497"/>
      <c r="CU16" s="497"/>
      <c r="CV16" s="497"/>
      <c r="CW16" s="497"/>
      <c r="CX16" s="497"/>
      <c r="CY16" s="497"/>
      <c r="CZ16" s="497"/>
      <c r="DA16" s="497"/>
      <c r="DB16" s="497"/>
      <c r="DC16" s="497"/>
      <c r="DD16" s="497"/>
      <c r="DE16" s="497"/>
      <c r="DF16" s="497"/>
      <c r="DG16" s="497"/>
      <c r="DH16" s="497"/>
      <c r="DI16" s="497"/>
      <c r="DJ16" s="497"/>
      <c r="DK16" s="497"/>
      <c r="DL16" s="497"/>
      <c r="DM16" s="381" t="s">
        <v>54</v>
      </c>
      <c r="DN16" s="487"/>
      <c r="DO16" s="381" t="s">
        <v>54</v>
      </c>
      <c r="DP16" s="385" t="s">
        <v>54</v>
      </c>
      <c r="DQ16" s="385" t="s">
        <v>54</v>
      </c>
      <c r="DR16" s="381" t="s">
        <v>54</v>
      </c>
      <c r="DS16" s="381" t="s">
        <v>54</v>
      </c>
      <c r="DT16" s="381" t="s">
        <v>54</v>
      </c>
      <c r="DU16" s="381" t="s">
        <v>54</v>
      </c>
      <c r="DV16" s="381" t="s">
        <v>54</v>
      </c>
      <c r="DW16" s="381" t="s">
        <v>54</v>
      </c>
      <c r="DX16" s="490"/>
      <c r="DY16" s="405" t="s">
        <v>54</v>
      </c>
      <c r="DZ16" s="490"/>
      <c r="EA16" s="405" t="s">
        <v>54</v>
      </c>
      <c r="EB16" s="405" t="s">
        <v>54</v>
      </c>
      <c r="EC16" s="405" t="s">
        <v>54</v>
      </c>
      <c r="ED16" s="381" t="s">
        <v>54</v>
      </c>
      <c r="EE16" s="381" t="s">
        <v>54</v>
      </c>
      <c r="EF16" s="381" t="s">
        <v>54</v>
      </c>
      <c r="EG16" s="381" t="s">
        <v>54</v>
      </c>
      <c r="EH16" s="381" t="s">
        <v>54</v>
      </c>
      <c r="EI16" s="381" t="s">
        <v>54</v>
      </c>
      <c r="EJ16" s="381" t="s">
        <v>54</v>
      </c>
      <c r="EK16" s="381" t="s">
        <v>54</v>
      </c>
      <c r="EL16" s="381" t="s">
        <v>54</v>
      </c>
      <c r="EM16" s="381" t="s">
        <v>54</v>
      </c>
      <c r="EN16" s="381" t="s">
        <v>54</v>
      </c>
      <c r="EO16" s="381" t="s">
        <v>54</v>
      </c>
      <c r="EP16" s="381" t="s">
        <v>54</v>
      </c>
      <c r="EQ16" s="381" t="s">
        <v>54</v>
      </c>
      <c r="ER16" s="381" t="s">
        <v>54</v>
      </c>
      <c r="ES16" s="381" t="s">
        <v>54</v>
      </c>
      <c r="ET16" s="381" t="s">
        <v>54</v>
      </c>
      <c r="EU16" s="381" t="s">
        <v>54</v>
      </c>
    </row>
    <row r="17" spans="1:151" s="1" customFormat="1" ht="19.899999999999999" customHeight="1">
      <c r="A17" s="494"/>
      <c r="B17" s="494"/>
      <c r="C17" s="488"/>
      <c r="D17" s="508"/>
      <c r="E17" s="508"/>
      <c r="F17" s="541"/>
      <c r="G17" s="515"/>
      <c r="H17" s="508"/>
      <c r="I17" s="541"/>
      <c r="J17" s="508"/>
      <c r="K17" s="494"/>
      <c r="L17" s="498"/>
      <c r="M17" s="494"/>
      <c r="N17" s="488"/>
      <c r="O17" s="515"/>
      <c r="P17" s="532"/>
      <c r="Q17" s="498"/>
      <c r="R17" s="2" t="s">
        <v>54</v>
      </c>
      <c r="S17" s="382" t="s">
        <v>54</v>
      </c>
      <c r="T17" s="371" t="s">
        <v>54</v>
      </c>
      <c r="U17" s="373" t="s">
        <v>54</v>
      </c>
      <c r="V17" s="2" t="s">
        <v>54</v>
      </c>
      <c r="W17" s="372" t="s">
        <v>54</v>
      </c>
      <c r="X17" s="490"/>
      <c r="Y17" s="372" t="s">
        <v>54</v>
      </c>
      <c r="Z17" s="521"/>
      <c r="AA17" s="383" t="s">
        <v>54</v>
      </c>
      <c r="AB17" s="494"/>
      <c r="AC17" s="2" t="s">
        <v>54</v>
      </c>
      <c r="AD17" s="498"/>
      <c r="AE17" s="405" t="s">
        <v>54</v>
      </c>
      <c r="AF17" s="372" t="s">
        <v>54</v>
      </c>
      <c r="AG17" s="372" t="s">
        <v>54</v>
      </c>
      <c r="AH17" s="372" t="s">
        <v>54</v>
      </c>
      <c r="AI17" s="372" t="s">
        <v>54</v>
      </c>
      <c r="AJ17" s="530"/>
      <c r="AK17" s="533"/>
      <c r="AL17" s="533"/>
      <c r="AM17" s="533"/>
      <c r="AN17" s="533"/>
      <c r="AO17" s="533"/>
      <c r="AP17" s="2" t="s">
        <v>54</v>
      </c>
      <c r="AQ17" s="547"/>
      <c r="AR17" s="2" t="s">
        <v>54</v>
      </c>
      <c r="AS17" s="366" t="s">
        <v>54</v>
      </c>
      <c r="AT17" s="366" t="s">
        <v>54</v>
      </c>
      <c r="AU17" s="2" t="s">
        <v>54</v>
      </c>
      <c r="AV17" s="2" t="s">
        <v>54</v>
      </c>
      <c r="AW17" s="2" t="s">
        <v>54</v>
      </c>
      <c r="AX17" s="2" t="s">
        <v>54</v>
      </c>
      <c r="AY17" s="380" t="s">
        <v>54</v>
      </c>
      <c r="AZ17" s="378" t="s">
        <v>54</v>
      </c>
      <c r="BA17" s="537"/>
      <c r="BB17" s="378" t="s">
        <v>54</v>
      </c>
      <c r="BC17" s="547"/>
      <c r="BD17" s="378" t="s">
        <v>54</v>
      </c>
      <c r="BE17" s="378" t="s">
        <v>54</v>
      </c>
      <c r="BF17" s="378" t="s">
        <v>54</v>
      </c>
      <c r="BG17" s="2" t="s">
        <v>54</v>
      </c>
      <c r="BH17" s="2" t="s">
        <v>54</v>
      </c>
      <c r="BI17" s="2" t="s">
        <v>54</v>
      </c>
      <c r="BJ17" s="2" t="s">
        <v>54</v>
      </c>
      <c r="BK17" s="371" t="s">
        <v>54</v>
      </c>
      <c r="BL17" s="2" t="s">
        <v>54</v>
      </c>
      <c r="BM17" s="2" t="s">
        <v>54</v>
      </c>
      <c r="BN17" s="2" t="s">
        <v>54</v>
      </c>
      <c r="BO17" s="2" t="s">
        <v>54</v>
      </c>
      <c r="BP17" s="2" t="s">
        <v>54</v>
      </c>
      <c r="BQ17" s="2" t="s">
        <v>54</v>
      </c>
      <c r="BR17" s="2" t="s">
        <v>54</v>
      </c>
      <c r="BS17" s="2" t="s">
        <v>54</v>
      </c>
      <c r="BT17" s="2" t="s">
        <v>54</v>
      </c>
      <c r="BU17" s="370" t="s">
        <v>54</v>
      </c>
      <c r="BV17" s="2" t="s">
        <v>54</v>
      </c>
      <c r="BW17" s="381" t="s">
        <v>54</v>
      </c>
      <c r="BX17" s="381" t="s">
        <v>54</v>
      </c>
      <c r="BY17" s="381" t="s">
        <v>54</v>
      </c>
      <c r="BZ17" s="381" t="s">
        <v>54</v>
      </c>
      <c r="CA17" s="381" t="s">
        <v>54</v>
      </c>
      <c r="CB17" s="2" t="s">
        <v>54</v>
      </c>
      <c r="CC17" s="2" t="s">
        <v>54</v>
      </c>
      <c r="CD17" s="2" t="s">
        <v>54</v>
      </c>
      <c r="CE17" s="370" t="s">
        <v>54</v>
      </c>
      <c r="CF17" s="2" t="s">
        <v>54</v>
      </c>
      <c r="CG17" s="381" t="s">
        <v>54</v>
      </c>
      <c r="CH17" s="381" t="s">
        <v>54</v>
      </c>
      <c r="CI17" s="381" t="s">
        <v>54</v>
      </c>
      <c r="CJ17" s="2" t="s">
        <v>54</v>
      </c>
      <c r="CK17" s="2" t="s">
        <v>54</v>
      </c>
      <c r="CL17" s="2" t="s">
        <v>54</v>
      </c>
      <c r="CM17" s="535"/>
      <c r="CN17" s="535"/>
      <c r="CO17" s="498"/>
      <c r="CP17" s="498"/>
      <c r="CQ17" s="498"/>
      <c r="CR17" s="498"/>
      <c r="CS17" s="498"/>
      <c r="CT17" s="498"/>
      <c r="CU17" s="498"/>
      <c r="CV17" s="498"/>
      <c r="CW17" s="498"/>
      <c r="CX17" s="498"/>
      <c r="CY17" s="498"/>
      <c r="CZ17" s="498"/>
      <c r="DA17" s="498"/>
      <c r="DB17" s="498"/>
      <c r="DC17" s="498"/>
      <c r="DD17" s="498"/>
      <c r="DE17" s="498"/>
      <c r="DF17" s="498"/>
      <c r="DG17" s="498"/>
      <c r="DH17" s="498"/>
      <c r="DI17" s="498"/>
      <c r="DJ17" s="498"/>
      <c r="DK17" s="498"/>
      <c r="DL17" s="498"/>
      <c r="DM17" s="381" t="s">
        <v>54</v>
      </c>
      <c r="DN17" s="488"/>
      <c r="DO17" s="381" t="s">
        <v>54</v>
      </c>
      <c r="DP17" s="385" t="s">
        <v>54</v>
      </c>
      <c r="DQ17" s="385" t="s">
        <v>54</v>
      </c>
      <c r="DR17" s="381" t="s">
        <v>54</v>
      </c>
      <c r="DS17" s="381" t="s">
        <v>54</v>
      </c>
      <c r="DT17" s="381" t="s">
        <v>54</v>
      </c>
      <c r="DU17" s="381" t="s">
        <v>54</v>
      </c>
      <c r="DV17" s="381" t="s">
        <v>54</v>
      </c>
      <c r="DW17" s="381" t="s">
        <v>54</v>
      </c>
      <c r="DX17" s="490"/>
      <c r="DY17" s="405" t="s">
        <v>54</v>
      </c>
      <c r="DZ17" s="490"/>
      <c r="EA17" s="405" t="s">
        <v>54</v>
      </c>
      <c r="EB17" s="405" t="s">
        <v>54</v>
      </c>
      <c r="EC17" s="405" t="s">
        <v>54</v>
      </c>
      <c r="ED17" s="381" t="s">
        <v>54</v>
      </c>
      <c r="EE17" s="381" t="s">
        <v>54</v>
      </c>
      <c r="EF17" s="381" t="s">
        <v>54</v>
      </c>
      <c r="EG17" s="381" t="s">
        <v>54</v>
      </c>
      <c r="EH17" s="381" t="s">
        <v>54</v>
      </c>
      <c r="EI17" s="381" t="s">
        <v>54</v>
      </c>
      <c r="EJ17" s="381" t="s">
        <v>54</v>
      </c>
      <c r="EK17" s="381" t="s">
        <v>54</v>
      </c>
      <c r="EL17" s="381" t="s">
        <v>54</v>
      </c>
      <c r="EM17" s="381" t="s">
        <v>54</v>
      </c>
      <c r="EN17" s="381" t="s">
        <v>54</v>
      </c>
      <c r="EO17" s="381" t="s">
        <v>54</v>
      </c>
      <c r="EP17" s="381" t="s">
        <v>54</v>
      </c>
      <c r="EQ17" s="381" t="s">
        <v>54</v>
      </c>
      <c r="ER17" s="381" t="s">
        <v>54</v>
      </c>
      <c r="ES17" s="381" t="s">
        <v>54</v>
      </c>
      <c r="ET17" s="381" t="s">
        <v>54</v>
      </c>
      <c r="EU17" s="381" t="s">
        <v>54</v>
      </c>
    </row>
    <row r="18" spans="1:151" s="1" customFormat="1" ht="19.899999999999999" customHeight="1">
      <c r="A18" s="491">
        <v>4</v>
      </c>
      <c r="B18" s="491" t="s">
        <v>3093</v>
      </c>
      <c r="C18" s="486" t="s">
        <v>2797</v>
      </c>
      <c r="D18" s="491" t="s">
        <v>2867</v>
      </c>
      <c r="E18" s="548" t="s">
        <v>2671</v>
      </c>
      <c r="F18" s="538" t="s">
        <v>2686</v>
      </c>
      <c r="G18" s="512" t="s">
        <v>2903</v>
      </c>
      <c r="H18" s="495" t="s">
        <v>2868</v>
      </c>
      <c r="I18" s="538" t="s">
        <v>2687</v>
      </c>
      <c r="J18" s="495" t="s">
        <v>2688</v>
      </c>
      <c r="K18" s="556" t="s">
        <v>3106</v>
      </c>
      <c r="L18" s="495" t="s">
        <v>3133</v>
      </c>
      <c r="M18" s="491" t="s">
        <v>2875</v>
      </c>
      <c r="N18" s="486" t="s">
        <v>3133</v>
      </c>
      <c r="O18" s="512" t="s">
        <v>2876</v>
      </c>
      <c r="P18" s="517" t="s">
        <v>2922</v>
      </c>
      <c r="Q18" s="495">
        <v>2</v>
      </c>
      <c r="R18" s="2" t="s">
        <v>2728</v>
      </c>
      <c r="S18" s="382" t="s">
        <v>52</v>
      </c>
      <c r="T18" s="371" t="s">
        <v>2757</v>
      </c>
      <c r="U18" s="373">
        <v>8.3000000000000007</v>
      </c>
      <c r="V18" s="2">
        <v>14.4</v>
      </c>
      <c r="W18" s="372">
        <v>800</v>
      </c>
      <c r="X18" s="489">
        <v>1199</v>
      </c>
      <c r="Y18" s="372">
        <v>69</v>
      </c>
      <c r="Z18" s="520">
        <v>69</v>
      </c>
      <c r="AA18" s="383">
        <v>800</v>
      </c>
      <c r="AB18" s="491">
        <v>1199</v>
      </c>
      <c r="AC18" s="2">
        <v>730</v>
      </c>
      <c r="AD18" s="495">
        <f>AC18+AC19</f>
        <v>1097</v>
      </c>
      <c r="AE18" s="404" t="s">
        <v>52</v>
      </c>
      <c r="AF18" s="372" t="s">
        <v>3147</v>
      </c>
      <c r="AG18" s="373" t="s">
        <v>2774</v>
      </c>
      <c r="AH18" s="373">
        <v>108</v>
      </c>
      <c r="AI18" s="373">
        <v>70.800000000000011</v>
      </c>
      <c r="AJ18" s="528" t="s">
        <v>2714</v>
      </c>
      <c r="AK18" s="533" t="s">
        <v>3318</v>
      </c>
      <c r="AL18" s="533">
        <v>1720</v>
      </c>
      <c r="AM18" s="533">
        <v>1199</v>
      </c>
      <c r="AN18" s="533" t="s">
        <v>2738</v>
      </c>
      <c r="AO18" s="533" t="s">
        <v>2748</v>
      </c>
      <c r="AP18" s="3">
        <v>800</v>
      </c>
      <c r="AQ18" s="543">
        <f t="shared" ref="AQ18" si="3">AP18+AP19</f>
        <v>1199</v>
      </c>
      <c r="AR18" s="2">
        <v>18.399999999999999</v>
      </c>
      <c r="AS18" s="366">
        <v>17.3</v>
      </c>
      <c r="AT18" s="366" t="s">
        <v>2799</v>
      </c>
      <c r="AU18" s="2" t="s">
        <v>52</v>
      </c>
      <c r="AV18" s="2" t="s">
        <v>52</v>
      </c>
      <c r="AW18" s="2" t="s">
        <v>52</v>
      </c>
      <c r="AX18" s="2" t="s">
        <v>52</v>
      </c>
      <c r="AY18" s="2" t="s">
        <v>52</v>
      </c>
      <c r="AZ18" s="2" t="s">
        <v>52</v>
      </c>
      <c r="BA18" s="536" t="s">
        <v>2808</v>
      </c>
      <c r="BB18" s="377">
        <v>800</v>
      </c>
      <c r="BC18" s="543">
        <v>1199</v>
      </c>
      <c r="BD18" s="377">
        <v>8.3000000000000007</v>
      </c>
      <c r="BE18" s="377">
        <v>8.1999999999999993</v>
      </c>
      <c r="BF18" s="377">
        <v>9.4</v>
      </c>
      <c r="BG18" s="2" t="s">
        <v>52</v>
      </c>
      <c r="BH18" s="2" t="s">
        <v>52</v>
      </c>
      <c r="BI18" s="2" t="s">
        <v>52</v>
      </c>
      <c r="BJ18" s="2" t="s">
        <v>52</v>
      </c>
      <c r="BK18" s="479" t="s">
        <v>2831</v>
      </c>
      <c r="BL18" s="370">
        <v>800</v>
      </c>
      <c r="BM18" s="2">
        <v>8.3000000000000007</v>
      </c>
      <c r="BN18" s="2">
        <v>5.8</v>
      </c>
      <c r="BO18" s="2">
        <v>8.3000000000000007</v>
      </c>
      <c r="BP18" s="2" t="s">
        <v>52</v>
      </c>
      <c r="BQ18" s="2" t="s">
        <v>52</v>
      </c>
      <c r="BR18" s="2" t="s">
        <v>52</v>
      </c>
      <c r="BS18" s="2" t="s">
        <v>52</v>
      </c>
      <c r="BT18" s="371" t="s">
        <v>52</v>
      </c>
      <c r="BU18" s="370">
        <v>446</v>
      </c>
      <c r="BV18" s="3">
        <v>129</v>
      </c>
      <c r="BW18" s="381" t="s">
        <v>52</v>
      </c>
      <c r="BX18" s="381">
        <v>17</v>
      </c>
      <c r="BY18" s="381" t="s">
        <v>52</v>
      </c>
      <c r="BZ18" s="384">
        <v>112</v>
      </c>
      <c r="CA18" s="381" t="s">
        <v>52</v>
      </c>
      <c r="CB18" s="2" t="s">
        <v>52</v>
      </c>
      <c r="CC18" s="2">
        <v>731</v>
      </c>
      <c r="CD18" s="2">
        <v>576</v>
      </c>
      <c r="CE18" s="370">
        <v>800</v>
      </c>
      <c r="CF18" s="3">
        <v>362</v>
      </c>
      <c r="CG18" s="381">
        <v>23</v>
      </c>
      <c r="CH18" s="381" t="s">
        <v>52</v>
      </c>
      <c r="CI18" s="384">
        <v>785</v>
      </c>
      <c r="CJ18" s="2">
        <v>800</v>
      </c>
      <c r="CK18" s="2">
        <v>308</v>
      </c>
      <c r="CL18" s="2" t="s">
        <v>2849</v>
      </c>
      <c r="CM18" s="528" t="s">
        <v>54</v>
      </c>
      <c r="CN18" s="528" t="s">
        <v>54</v>
      </c>
      <c r="CO18" s="495" t="s">
        <v>54</v>
      </c>
      <c r="CP18" s="495" t="s">
        <v>54</v>
      </c>
      <c r="CQ18" s="495" t="s">
        <v>54</v>
      </c>
      <c r="CR18" s="495" t="s">
        <v>54</v>
      </c>
      <c r="CS18" s="495" t="s">
        <v>54</v>
      </c>
      <c r="CT18" s="495" t="s">
        <v>54</v>
      </c>
      <c r="CU18" s="495" t="s">
        <v>54</v>
      </c>
      <c r="CV18" s="495" t="s">
        <v>54</v>
      </c>
      <c r="CW18" s="495" t="s">
        <v>54</v>
      </c>
      <c r="CX18" s="495" t="s">
        <v>54</v>
      </c>
      <c r="CY18" s="495" t="s">
        <v>54</v>
      </c>
      <c r="CZ18" s="495" t="s">
        <v>54</v>
      </c>
      <c r="DA18" s="495" t="s">
        <v>54</v>
      </c>
      <c r="DB18" s="495" t="s">
        <v>54</v>
      </c>
      <c r="DC18" s="495" t="s">
        <v>54</v>
      </c>
      <c r="DD18" s="495" t="s">
        <v>54</v>
      </c>
      <c r="DE18" s="495" t="s">
        <v>54</v>
      </c>
      <c r="DF18" s="495" t="s">
        <v>54</v>
      </c>
      <c r="DG18" s="495" t="s">
        <v>54</v>
      </c>
      <c r="DH18" s="495" t="s">
        <v>54</v>
      </c>
      <c r="DI18" s="495" t="s">
        <v>54</v>
      </c>
      <c r="DJ18" s="495" t="s">
        <v>54</v>
      </c>
      <c r="DK18" s="495" t="s">
        <v>54</v>
      </c>
      <c r="DL18" s="495" t="s">
        <v>54</v>
      </c>
      <c r="DM18" s="381" t="s">
        <v>54</v>
      </c>
      <c r="DN18" s="486" t="s">
        <v>54</v>
      </c>
      <c r="DO18" s="381" t="s">
        <v>54</v>
      </c>
      <c r="DP18" s="385" t="s">
        <v>54</v>
      </c>
      <c r="DQ18" s="385" t="s">
        <v>54</v>
      </c>
      <c r="DR18" s="381" t="s">
        <v>54</v>
      </c>
      <c r="DS18" s="381" t="s">
        <v>54</v>
      </c>
      <c r="DT18" s="381" t="s">
        <v>54</v>
      </c>
      <c r="DU18" s="381" t="s">
        <v>54</v>
      </c>
      <c r="DV18" s="381" t="s">
        <v>54</v>
      </c>
      <c r="DW18" s="381" t="s">
        <v>54</v>
      </c>
      <c r="DX18" s="489" t="s">
        <v>54</v>
      </c>
      <c r="DY18" s="405" t="s">
        <v>54</v>
      </c>
      <c r="DZ18" s="489" t="s">
        <v>54</v>
      </c>
      <c r="EA18" s="405" t="s">
        <v>54</v>
      </c>
      <c r="EB18" s="405" t="s">
        <v>54</v>
      </c>
      <c r="EC18" s="405" t="s">
        <v>54</v>
      </c>
      <c r="ED18" s="381" t="s">
        <v>54</v>
      </c>
      <c r="EE18" s="381" t="s">
        <v>54</v>
      </c>
      <c r="EF18" s="381" t="s">
        <v>54</v>
      </c>
      <c r="EG18" s="381" t="s">
        <v>54</v>
      </c>
      <c r="EH18" s="381" t="s">
        <v>54</v>
      </c>
      <c r="EI18" s="381" t="s">
        <v>54</v>
      </c>
      <c r="EJ18" s="381" t="s">
        <v>54</v>
      </c>
      <c r="EK18" s="381" t="s">
        <v>54</v>
      </c>
      <c r="EL18" s="381" t="s">
        <v>54</v>
      </c>
      <c r="EM18" s="381" t="s">
        <v>54</v>
      </c>
      <c r="EN18" s="381" t="s">
        <v>54</v>
      </c>
      <c r="EO18" s="381" t="s">
        <v>54</v>
      </c>
      <c r="EP18" s="381" t="s">
        <v>54</v>
      </c>
      <c r="EQ18" s="381" t="s">
        <v>54</v>
      </c>
      <c r="ER18" s="381" t="s">
        <v>54</v>
      </c>
      <c r="ES18" s="381" t="s">
        <v>54</v>
      </c>
      <c r="ET18" s="381" t="s">
        <v>54</v>
      </c>
      <c r="EU18" s="381" t="s">
        <v>54</v>
      </c>
    </row>
    <row r="19" spans="1:151" s="1" customFormat="1" ht="19.899999999999999" customHeight="1">
      <c r="A19" s="492"/>
      <c r="B19" s="492"/>
      <c r="C19" s="487"/>
      <c r="D19" s="509"/>
      <c r="E19" s="506"/>
      <c r="F19" s="539"/>
      <c r="G19" s="513"/>
      <c r="H19" s="506"/>
      <c r="I19" s="539"/>
      <c r="J19" s="506"/>
      <c r="K19" s="492"/>
      <c r="L19" s="496"/>
      <c r="M19" s="492"/>
      <c r="N19" s="487"/>
      <c r="O19" s="513"/>
      <c r="P19" s="531"/>
      <c r="Q19" s="496"/>
      <c r="R19" s="3" t="s">
        <v>2729</v>
      </c>
      <c r="S19" s="382" t="s">
        <v>52</v>
      </c>
      <c r="T19" s="371" t="s">
        <v>2757</v>
      </c>
      <c r="U19" s="373">
        <v>3</v>
      </c>
      <c r="V19" s="2">
        <v>14.4</v>
      </c>
      <c r="W19" s="372">
        <v>399</v>
      </c>
      <c r="X19" s="490"/>
      <c r="Y19" s="372">
        <v>69</v>
      </c>
      <c r="Z19" s="521"/>
      <c r="AA19" s="383">
        <v>399</v>
      </c>
      <c r="AB19" s="492"/>
      <c r="AC19" s="2">
        <v>367</v>
      </c>
      <c r="AD19" s="496"/>
      <c r="AE19" s="404" t="s">
        <v>52</v>
      </c>
      <c r="AF19" s="372" t="s">
        <v>3148</v>
      </c>
      <c r="AG19" s="373" t="s">
        <v>2775</v>
      </c>
      <c r="AH19" s="373">
        <v>128</v>
      </c>
      <c r="AI19" s="373">
        <v>72</v>
      </c>
      <c r="AJ19" s="529"/>
      <c r="AK19" s="533"/>
      <c r="AL19" s="533"/>
      <c r="AM19" s="533"/>
      <c r="AN19" s="533"/>
      <c r="AO19" s="533"/>
      <c r="AP19" s="3">
        <v>399</v>
      </c>
      <c r="AQ19" s="546"/>
      <c r="AR19" s="2">
        <v>13.6</v>
      </c>
      <c r="AS19" s="366">
        <v>11.3</v>
      </c>
      <c r="AT19" s="366">
        <v>15.8</v>
      </c>
      <c r="AU19" s="2" t="s">
        <v>52</v>
      </c>
      <c r="AV19" s="2" t="s">
        <v>52</v>
      </c>
      <c r="AW19" s="2" t="s">
        <v>52</v>
      </c>
      <c r="AX19" s="2" t="s">
        <v>52</v>
      </c>
      <c r="AY19" s="2" t="s">
        <v>52</v>
      </c>
      <c r="AZ19" s="2" t="s">
        <v>52</v>
      </c>
      <c r="BA19" s="537"/>
      <c r="BB19" s="377">
        <v>399</v>
      </c>
      <c r="BC19" s="546"/>
      <c r="BD19" s="377">
        <v>2.9</v>
      </c>
      <c r="BE19" s="377">
        <v>2.8</v>
      </c>
      <c r="BF19" s="377">
        <v>3.4</v>
      </c>
      <c r="BG19" s="2" t="s">
        <v>52</v>
      </c>
      <c r="BH19" s="2" t="s">
        <v>52</v>
      </c>
      <c r="BI19" s="2" t="s">
        <v>52</v>
      </c>
      <c r="BJ19" s="2" t="s">
        <v>52</v>
      </c>
      <c r="BK19" s="479" t="s">
        <v>2831</v>
      </c>
      <c r="BL19" s="370">
        <v>399</v>
      </c>
      <c r="BM19" s="2">
        <v>3</v>
      </c>
      <c r="BN19" s="2">
        <v>2.9</v>
      </c>
      <c r="BO19" s="2">
        <v>3.7</v>
      </c>
      <c r="BP19" s="2" t="s">
        <v>52</v>
      </c>
      <c r="BQ19" s="2" t="s">
        <v>52</v>
      </c>
      <c r="BR19" s="2" t="s">
        <v>52</v>
      </c>
      <c r="BS19" s="2" t="s">
        <v>52</v>
      </c>
      <c r="BT19" s="371" t="s">
        <v>52</v>
      </c>
      <c r="BU19" s="370">
        <v>208</v>
      </c>
      <c r="BV19" s="3">
        <v>8</v>
      </c>
      <c r="BW19" s="381" t="s">
        <v>52</v>
      </c>
      <c r="BX19" s="381">
        <v>2</v>
      </c>
      <c r="BY19" s="381" t="s">
        <v>52</v>
      </c>
      <c r="BZ19" s="384">
        <v>6</v>
      </c>
      <c r="CA19" s="381" t="s">
        <v>52</v>
      </c>
      <c r="CB19" s="2" t="s">
        <v>52</v>
      </c>
      <c r="CC19" s="2">
        <v>330</v>
      </c>
      <c r="CD19" s="2">
        <v>8</v>
      </c>
      <c r="CE19" s="370">
        <v>399</v>
      </c>
      <c r="CF19" s="3">
        <v>212</v>
      </c>
      <c r="CG19" s="381">
        <v>14</v>
      </c>
      <c r="CH19" s="381" t="s">
        <v>52</v>
      </c>
      <c r="CI19" s="384">
        <v>390</v>
      </c>
      <c r="CJ19" s="2">
        <v>399</v>
      </c>
      <c r="CK19" s="2">
        <v>212</v>
      </c>
      <c r="CL19" s="2" t="s">
        <v>2850</v>
      </c>
      <c r="CM19" s="534"/>
      <c r="CN19" s="534"/>
      <c r="CO19" s="496"/>
      <c r="CP19" s="496"/>
      <c r="CQ19" s="496"/>
      <c r="CR19" s="496"/>
      <c r="CS19" s="496"/>
      <c r="CT19" s="496"/>
      <c r="CU19" s="496"/>
      <c r="CV19" s="496"/>
      <c r="CW19" s="496"/>
      <c r="CX19" s="496"/>
      <c r="CY19" s="496"/>
      <c r="CZ19" s="496"/>
      <c r="DA19" s="496"/>
      <c r="DB19" s="496"/>
      <c r="DC19" s="496"/>
      <c r="DD19" s="496"/>
      <c r="DE19" s="496"/>
      <c r="DF19" s="496"/>
      <c r="DG19" s="496"/>
      <c r="DH19" s="496"/>
      <c r="DI19" s="496"/>
      <c r="DJ19" s="496"/>
      <c r="DK19" s="496"/>
      <c r="DL19" s="496"/>
      <c r="DM19" s="381" t="s">
        <v>54</v>
      </c>
      <c r="DN19" s="487"/>
      <c r="DO19" s="381" t="s">
        <v>54</v>
      </c>
      <c r="DP19" s="385" t="s">
        <v>54</v>
      </c>
      <c r="DQ19" s="385" t="s">
        <v>54</v>
      </c>
      <c r="DR19" s="381" t="s">
        <v>54</v>
      </c>
      <c r="DS19" s="381" t="s">
        <v>54</v>
      </c>
      <c r="DT19" s="381" t="s">
        <v>54</v>
      </c>
      <c r="DU19" s="381" t="s">
        <v>54</v>
      </c>
      <c r="DV19" s="381" t="s">
        <v>54</v>
      </c>
      <c r="DW19" s="381" t="s">
        <v>54</v>
      </c>
      <c r="DX19" s="490"/>
      <c r="DY19" s="405" t="s">
        <v>54</v>
      </c>
      <c r="DZ19" s="490"/>
      <c r="EA19" s="405" t="s">
        <v>54</v>
      </c>
      <c r="EB19" s="405" t="s">
        <v>54</v>
      </c>
      <c r="EC19" s="405" t="s">
        <v>54</v>
      </c>
      <c r="ED19" s="381" t="s">
        <v>54</v>
      </c>
      <c r="EE19" s="381" t="s">
        <v>54</v>
      </c>
      <c r="EF19" s="381" t="s">
        <v>54</v>
      </c>
      <c r="EG19" s="381" t="s">
        <v>54</v>
      </c>
      <c r="EH19" s="381" t="s">
        <v>54</v>
      </c>
      <c r="EI19" s="381" t="s">
        <v>54</v>
      </c>
      <c r="EJ19" s="381" t="s">
        <v>54</v>
      </c>
      <c r="EK19" s="381" t="s">
        <v>54</v>
      </c>
      <c r="EL19" s="381" t="s">
        <v>54</v>
      </c>
      <c r="EM19" s="381" t="s">
        <v>54</v>
      </c>
      <c r="EN19" s="381" t="s">
        <v>54</v>
      </c>
      <c r="EO19" s="381" t="s">
        <v>54</v>
      </c>
      <c r="EP19" s="381" t="s">
        <v>54</v>
      </c>
      <c r="EQ19" s="381" t="s">
        <v>54</v>
      </c>
      <c r="ER19" s="381" t="s">
        <v>54</v>
      </c>
      <c r="ES19" s="381" t="s">
        <v>54</v>
      </c>
      <c r="ET19" s="381" t="s">
        <v>54</v>
      </c>
      <c r="EU19" s="381" t="s">
        <v>54</v>
      </c>
    </row>
    <row r="20" spans="1:151" s="1" customFormat="1" ht="19.899999999999999" customHeight="1">
      <c r="A20" s="493"/>
      <c r="B20" s="493"/>
      <c r="C20" s="487"/>
      <c r="D20" s="510"/>
      <c r="E20" s="507"/>
      <c r="F20" s="540"/>
      <c r="G20" s="514"/>
      <c r="H20" s="507"/>
      <c r="I20" s="540"/>
      <c r="J20" s="507"/>
      <c r="K20" s="493"/>
      <c r="L20" s="497"/>
      <c r="M20" s="493"/>
      <c r="N20" s="487"/>
      <c r="O20" s="514"/>
      <c r="P20" s="531"/>
      <c r="Q20" s="497"/>
      <c r="R20" s="2" t="s">
        <v>54</v>
      </c>
      <c r="S20" s="382" t="s">
        <v>54</v>
      </c>
      <c r="T20" s="371" t="s">
        <v>54</v>
      </c>
      <c r="U20" s="373" t="s">
        <v>54</v>
      </c>
      <c r="V20" s="2" t="s">
        <v>54</v>
      </c>
      <c r="W20" s="372" t="s">
        <v>54</v>
      </c>
      <c r="X20" s="490"/>
      <c r="Y20" s="372" t="s">
        <v>54</v>
      </c>
      <c r="Z20" s="521"/>
      <c r="AA20" s="383" t="s">
        <v>54</v>
      </c>
      <c r="AB20" s="493"/>
      <c r="AC20" s="2" t="s">
        <v>54</v>
      </c>
      <c r="AD20" s="497"/>
      <c r="AE20" s="405" t="s">
        <v>54</v>
      </c>
      <c r="AF20" s="372" t="s">
        <v>54</v>
      </c>
      <c r="AG20" s="372" t="s">
        <v>54</v>
      </c>
      <c r="AH20" s="372" t="s">
        <v>54</v>
      </c>
      <c r="AI20" s="372" t="s">
        <v>54</v>
      </c>
      <c r="AJ20" s="529"/>
      <c r="AK20" s="533"/>
      <c r="AL20" s="533"/>
      <c r="AM20" s="533"/>
      <c r="AN20" s="533"/>
      <c r="AO20" s="533"/>
      <c r="AP20" s="2" t="s">
        <v>54</v>
      </c>
      <c r="AQ20" s="546"/>
      <c r="AR20" s="2" t="s">
        <v>54</v>
      </c>
      <c r="AS20" s="366" t="s">
        <v>54</v>
      </c>
      <c r="AT20" s="366" t="s">
        <v>54</v>
      </c>
      <c r="AU20" s="2" t="s">
        <v>54</v>
      </c>
      <c r="AV20" s="2" t="s">
        <v>54</v>
      </c>
      <c r="AW20" s="2" t="s">
        <v>54</v>
      </c>
      <c r="AX20" s="2" t="s">
        <v>54</v>
      </c>
      <c r="AY20" s="380" t="s">
        <v>54</v>
      </c>
      <c r="AZ20" s="378" t="s">
        <v>54</v>
      </c>
      <c r="BA20" s="537"/>
      <c r="BB20" s="378" t="s">
        <v>54</v>
      </c>
      <c r="BC20" s="546"/>
      <c r="BD20" s="378" t="s">
        <v>54</v>
      </c>
      <c r="BE20" s="378" t="s">
        <v>54</v>
      </c>
      <c r="BF20" s="378" t="s">
        <v>54</v>
      </c>
      <c r="BG20" s="2" t="s">
        <v>54</v>
      </c>
      <c r="BH20" s="2" t="s">
        <v>54</v>
      </c>
      <c r="BI20" s="2" t="s">
        <v>54</v>
      </c>
      <c r="BJ20" s="2" t="s">
        <v>54</v>
      </c>
      <c r="BK20" s="371" t="s">
        <v>54</v>
      </c>
      <c r="BL20" s="370" t="s">
        <v>54</v>
      </c>
      <c r="BM20" s="2" t="s">
        <v>54</v>
      </c>
      <c r="BN20" s="2" t="s">
        <v>54</v>
      </c>
      <c r="BO20" s="2" t="s">
        <v>54</v>
      </c>
      <c r="BP20" s="2" t="s">
        <v>54</v>
      </c>
      <c r="BQ20" s="2" t="s">
        <v>54</v>
      </c>
      <c r="BR20" s="2" t="s">
        <v>54</v>
      </c>
      <c r="BS20" s="2" t="s">
        <v>54</v>
      </c>
      <c r="BT20" s="371" t="s">
        <v>54</v>
      </c>
      <c r="BU20" s="370" t="s">
        <v>54</v>
      </c>
      <c r="BV20" s="2" t="s">
        <v>54</v>
      </c>
      <c r="BW20" s="381" t="s">
        <v>54</v>
      </c>
      <c r="BX20" s="381" t="s">
        <v>54</v>
      </c>
      <c r="BY20" s="381" t="s">
        <v>54</v>
      </c>
      <c r="BZ20" s="381" t="s">
        <v>54</v>
      </c>
      <c r="CA20" s="381" t="s">
        <v>54</v>
      </c>
      <c r="CB20" s="2" t="s">
        <v>54</v>
      </c>
      <c r="CC20" s="2" t="s">
        <v>54</v>
      </c>
      <c r="CD20" s="2" t="s">
        <v>54</v>
      </c>
      <c r="CE20" s="370" t="s">
        <v>54</v>
      </c>
      <c r="CF20" s="2" t="s">
        <v>54</v>
      </c>
      <c r="CG20" s="381" t="s">
        <v>54</v>
      </c>
      <c r="CH20" s="381" t="s">
        <v>54</v>
      </c>
      <c r="CI20" s="381" t="s">
        <v>54</v>
      </c>
      <c r="CJ20" s="2" t="s">
        <v>54</v>
      </c>
      <c r="CK20" s="2" t="s">
        <v>54</v>
      </c>
      <c r="CL20" s="2" t="s">
        <v>54</v>
      </c>
      <c r="CM20" s="534"/>
      <c r="CN20" s="534"/>
      <c r="CO20" s="497"/>
      <c r="CP20" s="497"/>
      <c r="CQ20" s="497"/>
      <c r="CR20" s="497"/>
      <c r="CS20" s="497"/>
      <c r="CT20" s="497"/>
      <c r="CU20" s="497"/>
      <c r="CV20" s="497"/>
      <c r="CW20" s="497"/>
      <c r="CX20" s="497"/>
      <c r="CY20" s="497"/>
      <c r="CZ20" s="497"/>
      <c r="DA20" s="497"/>
      <c r="DB20" s="497"/>
      <c r="DC20" s="497"/>
      <c r="DD20" s="497"/>
      <c r="DE20" s="497"/>
      <c r="DF20" s="497"/>
      <c r="DG20" s="497"/>
      <c r="DH20" s="497"/>
      <c r="DI20" s="497"/>
      <c r="DJ20" s="497"/>
      <c r="DK20" s="497"/>
      <c r="DL20" s="497"/>
      <c r="DM20" s="381" t="s">
        <v>54</v>
      </c>
      <c r="DN20" s="487"/>
      <c r="DO20" s="381" t="s">
        <v>54</v>
      </c>
      <c r="DP20" s="385" t="s">
        <v>54</v>
      </c>
      <c r="DQ20" s="385" t="s">
        <v>54</v>
      </c>
      <c r="DR20" s="381" t="s">
        <v>54</v>
      </c>
      <c r="DS20" s="381" t="s">
        <v>54</v>
      </c>
      <c r="DT20" s="381" t="s">
        <v>54</v>
      </c>
      <c r="DU20" s="381" t="s">
        <v>54</v>
      </c>
      <c r="DV20" s="381" t="s">
        <v>54</v>
      </c>
      <c r="DW20" s="381" t="s">
        <v>54</v>
      </c>
      <c r="DX20" s="490"/>
      <c r="DY20" s="405" t="s">
        <v>54</v>
      </c>
      <c r="DZ20" s="490"/>
      <c r="EA20" s="405" t="s">
        <v>54</v>
      </c>
      <c r="EB20" s="405" t="s">
        <v>54</v>
      </c>
      <c r="EC20" s="405" t="s">
        <v>54</v>
      </c>
      <c r="ED20" s="381" t="s">
        <v>54</v>
      </c>
      <c r="EE20" s="381" t="s">
        <v>54</v>
      </c>
      <c r="EF20" s="381" t="s">
        <v>54</v>
      </c>
      <c r="EG20" s="381" t="s">
        <v>54</v>
      </c>
      <c r="EH20" s="381" t="s">
        <v>54</v>
      </c>
      <c r="EI20" s="381" t="s">
        <v>54</v>
      </c>
      <c r="EJ20" s="381" t="s">
        <v>54</v>
      </c>
      <c r="EK20" s="381" t="s">
        <v>54</v>
      </c>
      <c r="EL20" s="381" t="s">
        <v>54</v>
      </c>
      <c r="EM20" s="381" t="s">
        <v>54</v>
      </c>
      <c r="EN20" s="381" t="s">
        <v>54</v>
      </c>
      <c r="EO20" s="381" t="s">
        <v>54</v>
      </c>
      <c r="EP20" s="381" t="s">
        <v>54</v>
      </c>
      <c r="EQ20" s="381" t="s">
        <v>54</v>
      </c>
      <c r="ER20" s="381" t="s">
        <v>54</v>
      </c>
      <c r="ES20" s="381" t="s">
        <v>54</v>
      </c>
      <c r="ET20" s="381" t="s">
        <v>54</v>
      </c>
      <c r="EU20" s="381" t="s">
        <v>54</v>
      </c>
    </row>
    <row r="21" spans="1:151" s="1" customFormat="1" ht="19.899999999999999" customHeight="1">
      <c r="A21" s="494"/>
      <c r="B21" s="494"/>
      <c r="C21" s="488"/>
      <c r="D21" s="511"/>
      <c r="E21" s="508"/>
      <c r="F21" s="541"/>
      <c r="G21" s="515"/>
      <c r="H21" s="508"/>
      <c r="I21" s="541"/>
      <c r="J21" s="508"/>
      <c r="K21" s="494"/>
      <c r="L21" s="498"/>
      <c r="M21" s="494"/>
      <c r="N21" s="488"/>
      <c r="O21" s="515"/>
      <c r="P21" s="532"/>
      <c r="Q21" s="498"/>
      <c r="R21" s="2" t="s">
        <v>54</v>
      </c>
      <c r="S21" s="382" t="s">
        <v>52</v>
      </c>
      <c r="T21" s="371" t="s">
        <v>54</v>
      </c>
      <c r="U21" s="373" t="s">
        <v>54</v>
      </c>
      <c r="V21" s="2" t="s">
        <v>54</v>
      </c>
      <c r="W21" s="372" t="s">
        <v>54</v>
      </c>
      <c r="X21" s="490"/>
      <c r="Y21" s="372" t="s">
        <v>54</v>
      </c>
      <c r="Z21" s="521"/>
      <c r="AA21" s="383" t="s">
        <v>54</v>
      </c>
      <c r="AB21" s="494"/>
      <c r="AC21" s="2" t="s">
        <v>54</v>
      </c>
      <c r="AD21" s="498"/>
      <c r="AE21" s="405" t="s">
        <v>54</v>
      </c>
      <c r="AF21" s="372" t="s">
        <v>54</v>
      </c>
      <c r="AG21" s="372" t="s">
        <v>54</v>
      </c>
      <c r="AH21" s="372" t="s">
        <v>54</v>
      </c>
      <c r="AI21" s="372" t="s">
        <v>54</v>
      </c>
      <c r="AJ21" s="530"/>
      <c r="AK21" s="533"/>
      <c r="AL21" s="533"/>
      <c r="AM21" s="533"/>
      <c r="AN21" s="533"/>
      <c r="AO21" s="533"/>
      <c r="AP21" s="2" t="s">
        <v>54</v>
      </c>
      <c r="AQ21" s="547"/>
      <c r="AR21" s="2" t="s">
        <v>54</v>
      </c>
      <c r="AS21" s="366" t="s">
        <v>54</v>
      </c>
      <c r="AT21" s="366" t="s">
        <v>54</v>
      </c>
      <c r="AU21" s="2" t="s">
        <v>54</v>
      </c>
      <c r="AV21" s="2" t="s">
        <v>54</v>
      </c>
      <c r="AW21" s="2" t="s">
        <v>54</v>
      </c>
      <c r="AX21" s="2" t="s">
        <v>54</v>
      </c>
      <c r="AY21" s="380" t="s">
        <v>54</v>
      </c>
      <c r="AZ21" s="378" t="s">
        <v>54</v>
      </c>
      <c r="BA21" s="537"/>
      <c r="BB21" s="378" t="s">
        <v>54</v>
      </c>
      <c r="BC21" s="547"/>
      <c r="BD21" s="378" t="s">
        <v>54</v>
      </c>
      <c r="BE21" s="378" t="s">
        <v>54</v>
      </c>
      <c r="BF21" s="378" t="s">
        <v>54</v>
      </c>
      <c r="BG21" s="2" t="s">
        <v>54</v>
      </c>
      <c r="BH21" s="2" t="s">
        <v>54</v>
      </c>
      <c r="BI21" s="2" t="s">
        <v>54</v>
      </c>
      <c r="BJ21" s="2" t="s">
        <v>54</v>
      </c>
      <c r="BK21" s="371" t="s">
        <v>54</v>
      </c>
      <c r="BL21" s="370" t="s">
        <v>54</v>
      </c>
      <c r="BM21" s="2" t="s">
        <v>54</v>
      </c>
      <c r="BN21" s="2" t="s">
        <v>54</v>
      </c>
      <c r="BO21" s="2" t="s">
        <v>54</v>
      </c>
      <c r="BP21" s="2" t="s">
        <v>54</v>
      </c>
      <c r="BQ21" s="2" t="s">
        <v>54</v>
      </c>
      <c r="BR21" s="2" t="s">
        <v>54</v>
      </c>
      <c r="BS21" s="2" t="s">
        <v>54</v>
      </c>
      <c r="BT21" s="371" t="s">
        <v>54</v>
      </c>
      <c r="BU21" s="370" t="s">
        <v>54</v>
      </c>
      <c r="BV21" s="2" t="s">
        <v>54</v>
      </c>
      <c r="BW21" s="381" t="s">
        <v>54</v>
      </c>
      <c r="BX21" s="381" t="s">
        <v>54</v>
      </c>
      <c r="BY21" s="381" t="s">
        <v>54</v>
      </c>
      <c r="BZ21" s="381" t="s">
        <v>54</v>
      </c>
      <c r="CA21" s="381" t="s">
        <v>54</v>
      </c>
      <c r="CB21" s="2" t="s">
        <v>54</v>
      </c>
      <c r="CC21" s="2" t="s">
        <v>54</v>
      </c>
      <c r="CD21" s="2" t="s">
        <v>54</v>
      </c>
      <c r="CE21" s="370" t="s">
        <v>54</v>
      </c>
      <c r="CF21" s="2" t="s">
        <v>54</v>
      </c>
      <c r="CG21" s="381" t="s">
        <v>54</v>
      </c>
      <c r="CH21" s="381" t="s">
        <v>54</v>
      </c>
      <c r="CI21" s="381" t="s">
        <v>54</v>
      </c>
      <c r="CJ21" s="2" t="s">
        <v>54</v>
      </c>
      <c r="CK21" s="2" t="s">
        <v>54</v>
      </c>
      <c r="CL21" s="2" t="s">
        <v>54</v>
      </c>
      <c r="CM21" s="535"/>
      <c r="CN21" s="535"/>
      <c r="CO21" s="498"/>
      <c r="CP21" s="498"/>
      <c r="CQ21" s="498"/>
      <c r="CR21" s="498"/>
      <c r="CS21" s="498"/>
      <c r="CT21" s="498"/>
      <c r="CU21" s="498"/>
      <c r="CV21" s="498"/>
      <c r="CW21" s="498"/>
      <c r="CX21" s="498"/>
      <c r="CY21" s="498"/>
      <c r="CZ21" s="498"/>
      <c r="DA21" s="498"/>
      <c r="DB21" s="498"/>
      <c r="DC21" s="498"/>
      <c r="DD21" s="498"/>
      <c r="DE21" s="498"/>
      <c r="DF21" s="498"/>
      <c r="DG21" s="498"/>
      <c r="DH21" s="498"/>
      <c r="DI21" s="498"/>
      <c r="DJ21" s="498"/>
      <c r="DK21" s="498"/>
      <c r="DL21" s="498"/>
      <c r="DM21" s="381" t="s">
        <v>54</v>
      </c>
      <c r="DN21" s="488"/>
      <c r="DO21" s="381" t="s">
        <v>54</v>
      </c>
      <c r="DP21" s="385" t="s">
        <v>54</v>
      </c>
      <c r="DQ21" s="385" t="s">
        <v>54</v>
      </c>
      <c r="DR21" s="381" t="s">
        <v>54</v>
      </c>
      <c r="DS21" s="381" t="s">
        <v>54</v>
      </c>
      <c r="DT21" s="381" t="s">
        <v>54</v>
      </c>
      <c r="DU21" s="381" t="s">
        <v>54</v>
      </c>
      <c r="DV21" s="381" t="s">
        <v>54</v>
      </c>
      <c r="DW21" s="381" t="s">
        <v>54</v>
      </c>
      <c r="DX21" s="490"/>
      <c r="DY21" s="405" t="s">
        <v>54</v>
      </c>
      <c r="DZ21" s="490"/>
      <c r="EA21" s="405" t="s">
        <v>54</v>
      </c>
      <c r="EB21" s="405" t="s">
        <v>54</v>
      </c>
      <c r="EC21" s="405" t="s">
        <v>54</v>
      </c>
      <c r="ED21" s="381" t="s">
        <v>54</v>
      </c>
      <c r="EE21" s="381" t="s">
        <v>54</v>
      </c>
      <c r="EF21" s="381" t="s">
        <v>54</v>
      </c>
      <c r="EG21" s="381" t="s">
        <v>54</v>
      </c>
      <c r="EH21" s="381" t="s">
        <v>54</v>
      </c>
      <c r="EI21" s="381" t="s">
        <v>54</v>
      </c>
      <c r="EJ21" s="381" t="s">
        <v>54</v>
      </c>
      <c r="EK21" s="381" t="s">
        <v>54</v>
      </c>
      <c r="EL21" s="381" t="s">
        <v>54</v>
      </c>
      <c r="EM21" s="381" t="s">
        <v>54</v>
      </c>
      <c r="EN21" s="381" t="s">
        <v>54</v>
      </c>
      <c r="EO21" s="381" t="s">
        <v>54</v>
      </c>
      <c r="EP21" s="381" t="s">
        <v>54</v>
      </c>
      <c r="EQ21" s="381" t="s">
        <v>54</v>
      </c>
      <c r="ER21" s="381" t="s">
        <v>54</v>
      </c>
      <c r="ES21" s="381" t="s">
        <v>54</v>
      </c>
      <c r="ET21" s="381" t="s">
        <v>54</v>
      </c>
      <c r="EU21" s="381" t="s">
        <v>54</v>
      </c>
    </row>
    <row r="22" spans="1:151" s="1" customFormat="1" ht="19.899999999999999" customHeight="1">
      <c r="A22" s="491">
        <v>5</v>
      </c>
      <c r="B22" s="491">
        <v>9</v>
      </c>
      <c r="C22" s="486" t="s">
        <v>2797</v>
      </c>
      <c r="D22" s="495" t="s">
        <v>2691</v>
      </c>
      <c r="E22" s="548" t="s">
        <v>2671</v>
      </c>
      <c r="F22" s="549" t="s">
        <v>2869</v>
      </c>
      <c r="G22" s="512" t="s">
        <v>2904</v>
      </c>
      <c r="H22" s="495" t="s">
        <v>2692</v>
      </c>
      <c r="I22" s="538" t="s">
        <v>2752</v>
      </c>
      <c r="J22" s="495" t="s">
        <v>2673</v>
      </c>
      <c r="K22" s="516" t="s">
        <v>3107</v>
      </c>
      <c r="L22" s="495" t="s">
        <v>3133</v>
      </c>
      <c r="M22" s="491" t="s">
        <v>2905</v>
      </c>
      <c r="N22" s="486" t="s">
        <v>3133</v>
      </c>
      <c r="O22" s="512" t="s">
        <v>2877</v>
      </c>
      <c r="P22" s="517" t="s">
        <v>2922</v>
      </c>
      <c r="Q22" s="495">
        <v>2</v>
      </c>
      <c r="R22" s="2" t="s">
        <v>2717</v>
      </c>
      <c r="S22" s="382" t="s">
        <v>52</v>
      </c>
      <c r="T22" s="371" t="s">
        <v>2753</v>
      </c>
      <c r="U22" s="387" t="s">
        <v>52</v>
      </c>
      <c r="V22" s="2" t="s">
        <v>2786</v>
      </c>
      <c r="W22" s="372">
        <v>317</v>
      </c>
      <c r="X22" s="489">
        <v>635</v>
      </c>
      <c r="Y22" s="372">
        <v>68</v>
      </c>
      <c r="Z22" s="520">
        <v>68</v>
      </c>
      <c r="AA22" s="383">
        <v>317</v>
      </c>
      <c r="AB22" s="491">
        <v>635</v>
      </c>
      <c r="AC22" s="387" t="s">
        <v>52</v>
      </c>
      <c r="AD22" s="495" t="s">
        <v>52</v>
      </c>
      <c r="AE22" s="404" t="s">
        <v>52</v>
      </c>
      <c r="AF22" s="387" t="s">
        <v>52</v>
      </c>
      <c r="AG22" s="373" t="s">
        <v>3150</v>
      </c>
      <c r="AH22" s="387" t="s">
        <v>52</v>
      </c>
      <c r="AI22" s="387" t="s">
        <v>52</v>
      </c>
      <c r="AJ22" s="528" t="s">
        <v>2714</v>
      </c>
      <c r="AK22" s="533" t="s">
        <v>3319</v>
      </c>
      <c r="AL22" s="533">
        <v>795</v>
      </c>
      <c r="AM22" s="533">
        <v>635</v>
      </c>
      <c r="AN22" s="533">
        <v>231</v>
      </c>
      <c r="AO22" s="533" t="s">
        <v>3149</v>
      </c>
      <c r="AP22" s="3">
        <v>317</v>
      </c>
      <c r="AQ22" s="543">
        <f t="shared" ref="AQ22" si="4">AP22+AP23</f>
        <v>635</v>
      </c>
      <c r="AR22" s="2" t="s">
        <v>2798</v>
      </c>
      <c r="AS22" s="366">
        <v>12.7</v>
      </c>
      <c r="AT22" s="366">
        <v>15.9</v>
      </c>
      <c r="AU22" s="2">
        <v>0.95</v>
      </c>
      <c r="AV22" s="2">
        <v>0.8</v>
      </c>
      <c r="AW22" s="2">
        <v>1.1200000000000001</v>
      </c>
      <c r="AX22" s="2">
        <v>0.53</v>
      </c>
      <c r="AY22" s="2" t="s">
        <v>52</v>
      </c>
      <c r="AZ22" s="2" t="s">
        <v>52</v>
      </c>
      <c r="BA22" s="536" t="s">
        <v>2808</v>
      </c>
      <c r="BB22" s="378" t="s">
        <v>52</v>
      </c>
      <c r="BC22" s="543" t="s">
        <v>52</v>
      </c>
      <c r="BD22" s="378" t="s">
        <v>52</v>
      </c>
      <c r="BE22" s="388" t="s">
        <v>52</v>
      </c>
      <c r="BF22" s="388" t="s">
        <v>52</v>
      </c>
      <c r="BG22" s="388" t="s">
        <v>52</v>
      </c>
      <c r="BH22" s="388" t="s">
        <v>52</v>
      </c>
      <c r="BI22" s="388" t="s">
        <v>52</v>
      </c>
      <c r="BJ22" s="388" t="s">
        <v>52</v>
      </c>
      <c r="BK22" s="406" t="s">
        <v>52</v>
      </c>
      <c r="BL22" s="2" t="s">
        <v>52</v>
      </c>
      <c r="BM22" s="2" t="s">
        <v>52</v>
      </c>
      <c r="BN22" s="2" t="s">
        <v>52</v>
      </c>
      <c r="BO22" s="2" t="s">
        <v>52</v>
      </c>
      <c r="BP22" s="2" t="s">
        <v>52</v>
      </c>
      <c r="BQ22" s="2" t="s">
        <v>52</v>
      </c>
      <c r="BR22" s="2" t="s">
        <v>52</v>
      </c>
      <c r="BS22" s="2" t="s">
        <v>52</v>
      </c>
      <c r="BT22" s="388" t="s">
        <v>52</v>
      </c>
      <c r="BU22" s="370" t="s">
        <v>52</v>
      </c>
      <c r="BV22" s="2" t="s">
        <v>52</v>
      </c>
      <c r="BW22" s="381" t="s">
        <v>52</v>
      </c>
      <c r="BX22" s="381" t="s">
        <v>52</v>
      </c>
      <c r="BY22" s="381" t="s">
        <v>52</v>
      </c>
      <c r="BZ22" s="381" t="s">
        <v>52</v>
      </c>
      <c r="CA22" s="381" t="s">
        <v>52</v>
      </c>
      <c r="CB22" s="2" t="s">
        <v>52</v>
      </c>
      <c r="CC22" s="2" t="s">
        <v>52</v>
      </c>
      <c r="CD22" s="2" t="s">
        <v>52</v>
      </c>
      <c r="CE22" s="370">
        <v>315</v>
      </c>
      <c r="CF22" s="3">
        <v>239</v>
      </c>
      <c r="CG22" s="381" t="s">
        <v>52</v>
      </c>
      <c r="CH22" s="381" t="s">
        <v>52</v>
      </c>
      <c r="CI22" s="384">
        <v>313</v>
      </c>
      <c r="CJ22" s="2">
        <v>317</v>
      </c>
      <c r="CK22" s="2">
        <v>263</v>
      </c>
      <c r="CL22" s="3" t="s">
        <v>2834</v>
      </c>
      <c r="CM22" s="528" t="s">
        <v>54</v>
      </c>
      <c r="CN22" s="528" t="s">
        <v>54</v>
      </c>
      <c r="CO22" s="495" t="s">
        <v>54</v>
      </c>
      <c r="CP22" s="495" t="s">
        <v>54</v>
      </c>
      <c r="CQ22" s="495" t="s">
        <v>54</v>
      </c>
      <c r="CR22" s="495" t="s">
        <v>54</v>
      </c>
      <c r="CS22" s="495" t="s">
        <v>54</v>
      </c>
      <c r="CT22" s="495" t="s">
        <v>54</v>
      </c>
      <c r="CU22" s="495" t="s">
        <v>54</v>
      </c>
      <c r="CV22" s="495" t="s">
        <v>54</v>
      </c>
      <c r="CW22" s="495" t="s">
        <v>54</v>
      </c>
      <c r="CX22" s="495" t="s">
        <v>54</v>
      </c>
      <c r="CY22" s="495" t="s">
        <v>54</v>
      </c>
      <c r="CZ22" s="495" t="s">
        <v>54</v>
      </c>
      <c r="DA22" s="495" t="s">
        <v>54</v>
      </c>
      <c r="DB22" s="495" t="s">
        <v>54</v>
      </c>
      <c r="DC22" s="495" t="s">
        <v>54</v>
      </c>
      <c r="DD22" s="495" t="s">
        <v>54</v>
      </c>
      <c r="DE22" s="495" t="s">
        <v>54</v>
      </c>
      <c r="DF22" s="495" t="s">
        <v>54</v>
      </c>
      <c r="DG22" s="495" t="s">
        <v>54</v>
      </c>
      <c r="DH22" s="495" t="s">
        <v>54</v>
      </c>
      <c r="DI22" s="495" t="s">
        <v>54</v>
      </c>
      <c r="DJ22" s="495" t="s">
        <v>54</v>
      </c>
      <c r="DK22" s="495" t="s">
        <v>54</v>
      </c>
      <c r="DL22" s="495" t="s">
        <v>54</v>
      </c>
      <c r="DM22" s="381" t="s">
        <v>54</v>
      </c>
      <c r="DN22" s="486" t="s">
        <v>54</v>
      </c>
      <c r="DO22" s="381" t="s">
        <v>54</v>
      </c>
      <c r="DP22" s="385" t="s">
        <v>54</v>
      </c>
      <c r="DQ22" s="385" t="s">
        <v>54</v>
      </c>
      <c r="DR22" s="381" t="s">
        <v>54</v>
      </c>
      <c r="DS22" s="381" t="s">
        <v>54</v>
      </c>
      <c r="DT22" s="381" t="s">
        <v>54</v>
      </c>
      <c r="DU22" s="381" t="s">
        <v>54</v>
      </c>
      <c r="DV22" s="381" t="s">
        <v>54</v>
      </c>
      <c r="DW22" s="381" t="s">
        <v>54</v>
      </c>
      <c r="DX22" s="489" t="s">
        <v>54</v>
      </c>
      <c r="DY22" s="405" t="s">
        <v>54</v>
      </c>
      <c r="DZ22" s="489" t="s">
        <v>54</v>
      </c>
      <c r="EA22" s="405" t="s">
        <v>54</v>
      </c>
      <c r="EB22" s="405" t="s">
        <v>54</v>
      </c>
      <c r="EC22" s="405" t="s">
        <v>54</v>
      </c>
      <c r="ED22" s="381" t="s">
        <v>54</v>
      </c>
      <c r="EE22" s="381" t="s">
        <v>54</v>
      </c>
      <c r="EF22" s="381" t="s">
        <v>54</v>
      </c>
      <c r="EG22" s="381" t="s">
        <v>54</v>
      </c>
      <c r="EH22" s="381" t="s">
        <v>54</v>
      </c>
      <c r="EI22" s="381" t="s">
        <v>54</v>
      </c>
      <c r="EJ22" s="381" t="s">
        <v>54</v>
      </c>
      <c r="EK22" s="381" t="s">
        <v>54</v>
      </c>
      <c r="EL22" s="381" t="s">
        <v>54</v>
      </c>
      <c r="EM22" s="381" t="s">
        <v>54</v>
      </c>
      <c r="EN22" s="381" t="s">
        <v>54</v>
      </c>
      <c r="EO22" s="381" t="s">
        <v>54</v>
      </c>
      <c r="EP22" s="381" t="s">
        <v>54</v>
      </c>
      <c r="EQ22" s="381" t="s">
        <v>54</v>
      </c>
      <c r="ER22" s="381" t="s">
        <v>54</v>
      </c>
      <c r="ES22" s="381" t="s">
        <v>54</v>
      </c>
      <c r="ET22" s="381" t="s">
        <v>54</v>
      </c>
      <c r="EU22" s="381" t="s">
        <v>54</v>
      </c>
    </row>
    <row r="23" spans="1:151" s="1" customFormat="1" ht="21.6" customHeight="1">
      <c r="A23" s="492"/>
      <c r="B23" s="492"/>
      <c r="C23" s="487"/>
      <c r="D23" s="506"/>
      <c r="E23" s="506"/>
      <c r="F23" s="539"/>
      <c r="G23" s="513"/>
      <c r="H23" s="506"/>
      <c r="I23" s="539"/>
      <c r="J23" s="506"/>
      <c r="K23" s="492"/>
      <c r="L23" s="496"/>
      <c r="M23" s="492"/>
      <c r="N23" s="487"/>
      <c r="O23" s="513"/>
      <c r="P23" s="531"/>
      <c r="Q23" s="496"/>
      <c r="R23" s="3" t="s">
        <v>2718</v>
      </c>
      <c r="S23" s="382" t="s">
        <v>52</v>
      </c>
      <c r="T23" s="371" t="s">
        <v>2753</v>
      </c>
      <c r="U23" s="387" t="s">
        <v>52</v>
      </c>
      <c r="V23" s="2" t="s">
        <v>2787</v>
      </c>
      <c r="W23" s="372">
        <v>318</v>
      </c>
      <c r="X23" s="490"/>
      <c r="Y23" s="372">
        <v>68</v>
      </c>
      <c r="Z23" s="521"/>
      <c r="AA23" s="383">
        <v>318</v>
      </c>
      <c r="AB23" s="492"/>
      <c r="AC23" s="387" t="s">
        <v>52</v>
      </c>
      <c r="AD23" s="496"/>
      <c r="AE23" s="404" t="s">
        <v>52</v>
      </c>
      <c r="AF23" s="387" t="s">
        <v>52</v>
      </c>
      <c r="AG23" s="373" t="s">
        <v>3151</v>
      </c>
      <c r="AH23" s="387" t="s">
        <v>52</v>
      </c>
      <c r="AI23" s="387" t="s">
        <v>52</v>
      </c>
      <c r="AJ23" s="529"/>
      <c r="AK23" s="533"/>
      <c r="AL23" s="533"/>
      <c r="AM23" s="533"/>
      <c r="AN23" s="533"/>
      <c r="AO23" s="533"/>
      <c r="AP23" s="3">
        <v>318</v>
      </c>
      <c r="AQ23" s="546"/>
      <c r="AR23" s="2">
        <v>13.4</v>
      </c>
      <c r="AS23" s="366">
        <v>12.1</v>
      </c>
      <c r="AT23" s="366">
        <v>14.9</v>
      </c>
      <c r="AU23" s="2" t="s">
        <v>52</v>
      </c>
      <c r="AV23" s="2" t="s">
        <v>52</v>
      </c>
      <c r="AW23" s="2" t="s">
        <v>52</v>
      </c>
      <c r="AX23" s="2" t="s">
        <v>52</v>
      </c>
      <c r="AY23" s="2" t="s">
        <v>52</v>
      </c>
      <c r="AZ23" s="2" t="s">
        <v>52</v>
      </c>
      <c r="BA23" s="537"/>
      <c r="BB23" s="378" t="s">
        <v>52</v>
      </c>
      <c r="BC23" s="546"/>
      <c r="BD23" s="388" t="s">
        <v>52</v>
      </c>
      <c r="BE23" s="388" t="s">
        <v>52</v>
      </c>
      <c r="BF23" s="388" t="s">
        <v>52</v>
      </c>
      <c r="BG23" s="388" t="s">
        <v>52</v>
      </c>
      <c r="BH23" s="388" t="s">
        <v>52</v>
      </c>
      <c r="BI23" s="388" t="s">
        <v>52</v>
      </c>
      <c r="BJ23" s="388" t="s">
        <v>52</v>
      </c>
      <c r="BK23" s="406" t="s">
        <v>52</v>
      </c>
      <c r="BL23" s="2" t="s">
        <v>52</v>
      </c>
      <c r="BM23" s="2" t="s">
        <v>52</v>
      </c>
      <c r="BN23" s="2" t="s">
        <v>52</v>
      </c>
      <c r="BO23" s="2" t="s">
        <v>52</v>
      </c>
      <c r="BP23" s="2" t="s">
        <v>52</v>
      </c>
      <c r="BQ23" s="2" t="s">
        <v>52</v>
      </c>
      <c r="BR23" s="2" t="s">
        <v>52</v>
      </c>
      <c r="BS23" s="2" t="s">
        <v>52</v>
      </c>
      <c r="BT23" s="388" t="s">
        <v>52</v>
      </c>
      <c r="BU23" s="370" t="s">
        <v>52</v>
      </c>
      <c r="BV23" s="2" t="s">
        <v>52</v>
      </c>
      <c r="BW23" s="381" t="s">
        <v>52</v>
      </c>
      <c r="BX23" s="381" t="s">
        <v>52</v>
      </c>
      <c r="BY23" s="381" t="s">
        <v>52</v>
      </c>
      <c r="BZ23" s="381" t="s">
        <v>52</v>
      </c>
      <c r="CA23" s="381" t="s">
        <v>52</v>
      </c>
      <c r="CB23" s="2" t="s">
        <v>52</v>
      </c>
      <c r="CC23" s="2" t="s">
        <v>52</v>
      </c>
      <c r="CD23" s="2" t="s">
        <v>52</v>
      </c>
      <c r="CE23" s="370">
        <v>312</v>
      </c>
      <c r="CF23" s="3">
        <v>207</v>
      </c>
      <c r="CG23" s="381" t="s">
        <v>52</v>
      </c>
      <c r="CH23" s="381" t="s">
        <v>52</v>
      </c>
      <c r="CI23" s="384">
        <v>297</v>
      </c>
      <c r="CJ23" s="2">
        <v>318</v>
      </c>
      <c r="CK23" s="2">
        <v>267</v>
      </c>
      <c r="CL23" s="3" t="s">
        <v>2835</v>
      </c>
      <c r="CM23" s="534"/>
      <c r="CN23" s="534"/>
      <c r="CO23" s="496"/>
      <c r="CP23" s="496"/>
      <c r="CQ23" s="496"/>
      <c r="CR23" s="496"/>
      <c r="CS23" s="496"/>
      <c r="CT23" s="496"/>
      <c r="CU23" s="496"/>
      <c r="CV23" s="496"/>
      <c r="CW23" s="496"/>
      <c r="CX23" s="496"/>
      <c r="CY23" s="496"/>
      <c r="CZ23" s="496"/>
      <c r="DA23" s="496"/>
      <c r="DB23" s="496"/>
      <c r="DC23" s="496"/>
      <c r="DD23" s="496"/>
      <c r="DE23" s="496"/>
      <c r="DF23" s="496"/>
      <c r="DG23" s="496"/>
      <c r="DH23" s="496"/>
      <c r="DI23" s="496"/>
      <c r="DJ23" s="496"/>
      <c r="DK23" s="496"/>
      <c r="DL23" s="496"/>
      <c r="DM23" s="381" t="s">
        <v>54</v>
      </c>
      <c r="DN23" s="487"/>
      <c r="DO23" s="381" t="s">
        <v>54</v>
      </c>
      <c r="DP23" s="385" t="s">
        <v>54</v>
      </c>
      <c r="DQ23" s="385" t="s">
        <v>54</v>
      </c>
      <c r="DR23" s="381" t="s">
        <v>54</v>
      </c>
      <c r="DS23" s="381" t="s">
        <v>54</v>
      </c>
      <c r="DT23" s="381" t="s">
        <v>54</v>
      </c>
      <c r="DU23" s="381" t="s">
        <v>54</v>
      </c>
      <c r="DV23" s="381" t="s">
        <v>54</v>
      </c>
      <c r="DW23" s="381" t="s">
        <v>54</v>
      </c>
      <c r="DX23" s="490"/>
      <c r="DY23" s="405" t="s">
        <v>54</v>
      </c>
      <c r="DZ23" s="490"/>
      <c r="EA23" s="405" t="s">
        <v>54</v>
      </c>
      <c r="EB23" s="405" t="s">
        <v>54</v>
      </c>
      <c r="EC23" s="405" t="s">
        <v>54</v>
      </c>
      <c r="ED23" s="381" t="s">
        <v>54</v>
      </c>
      <c r="EE23" s="381" t="s">
        <v>54</v>
      </c>
      <c r="EF23" s="381" t="s">
        <v>54</v>
      </c>
      <c r="EG23" s="381" t="s">
        <v>54</v>
      </c>
      <c r="EH23" s="381" t="s">
        <v>54</v>
      </c>
      <c r="EI23" s="381" t="s">
        <v>54</v>
      </c>
      <c r="EJ23" s="381" t="s">
        <v>54</v>
      </c>
      <c r="EK23" s="381" t="s">
        <v>54</v>
      </c>
      <c r="EL23" s="381" t="s">
        <v>54</v>
      </c>
      <c r="EM23" s="381" t="s">
        <v>54</v>
      </c>
      <c r="EN23" s="381" t="s">
        <v>54</v>
      </c>
      <c r="EO23" s="381" t="s">
        <v>54</v>
      </c>
      <c r="EP23" s="381" t="s">
        <v>54</v>
      </c>
      <c r="EQ23" s="381" t="s">
        <v>54</v>
      </c>
      <c r="ER23" s="381" t="s">
        <v>54</v>
      </c>
      <c r="ES23" s="381" t="s">
        <v>54</v>
      </c>
      <c r="ET23" s="381" t="s">
        <v>54</v>
      </c>
      <c r="EU23" s="381" t="s">
        <v>54</v>
      </c>
    </row>
    <row r="24" spans="1:151" s="1" customFormat="1" ht="19.899999999999999" customHeight="1">
      <c r="A24" s="493"/>
      <c r="B24" s="493"/>
      <c r="C24" s="487"/>
      <c r="D24" s="507"/>
      <c r="E24" s="507"/>
      <c r="F24" s="540"/>
      <c r="G24" s="514"/>
      <c r="H24" s="507"/>
      <c r="I24" s="540"/>
      <c r="J24" s="507"/>
      <c r="K24" s="493"/>
      <c r="L24" s="497"/>
      <c r="M24" s="493"/>
      <c r="N24" s="487"/>
      <c r="O24" s="514"/>
      <c r="P24" s="531"/>
      <c r="Q24" s="497"/>
      <c r="R24" s="2" t="s">
        <v>54</v>
      </c>
      <c r="S24" s="382" t="s">
        <v>54</v>
      </c>
      <c r="T24" s="371" t="s">
        <v>54</v>
      </c>
      <c r="U24" s="373" t="s">
        <v>54</v>
      </c>
      <c r="V24" s="2" t="s">
        <v>54</v>
      </c>
      <c r="W24" s="372" t="s">
        <v>54</v>
      </c>
      <c r="X24" s="490"/>
      <c r="Y24" s="372" t="s">
        <v>54</v>
      </c>
      <c r="Z24" s="521"/>
      <c r="AA24" s="383" t="s">
        <v>54</v>
      </c>
      <c r="AB24" s="493"/>
      <c r="AC24" s="2" t="s">
        <v>54</v>
      </c>
      <c r="AD24" s="497"/>
      <c r="AE24" s="405" t="s">
        <v>54</v>
      </c>
      <c r="AF24" s="372" t="s">
        <v>54</v>
      </c>
      <c r="AG24" s="372" t="s">
        <v>54</v>
      </c>
      <c r="AH24" s="372" t="s">
        <v>54</v>
      </c>
      <c r="AI24" s="372" t="s">
        <v>54</v>
      </c>
      <c r="AJ24" s="529"/>
      <c r="AK24" s="533"/>
      <c r="AL24" s="533"/>
      <c r="AM24" s="533"/>
      <c r="AN24" s="533"/>
      <c r="AO24" s="533"/>
      <c r="AP24" s="2" t="s">
        <v>54</v>
      </c>
      <c r="AQ24" s="546"/>
      <c r="AR24" s="2" t="s">
        <v>54</v>
      </c>
      <c r="AS24" s="366" t="s">
        <v>54</v>
      </c>
      <c r="AT24" s="366" t="s">
        <v>54</v>
      </c>
      <c r="AU24" s="2" t="s">
        <v>54</v>
      </c>
      <c r="AV24" s="2" t="s">
        <v>54</v>
      </c>
      <c r="AW24" s="2" t="s">
        <v>54</v>
      </c>
      <c r="AX24" s="2" t="s">
        <v>54</v>
      </c>
      <c r="AY24" s="380" t="s">
        <v>54</v>
      </c>
      <c r="AZ24" s="378" t="s">
        <v>54</v>
      </c>
      <c r="BA24" s="537"/>
      <c r="BB24" s="378" t="s">
        <v>54</v>
      </c>
      <c r="BC24" s="546"/>
      <c r="BD24" s="378" t="s">
        <v>54</v>
      </c>
      <c r="BE24" s="378" t="s">
        <v>54</v>
      </c>
      <c r="BF24" s="378" t="s">
        <v>54</v>
      </c>
      <c r="BG24" s="2" t="s">
        <v>54</v>
      </c>
      <c r="BH24" s="2" t="s">
        <v>54</v>
      </c>
      <c r="BI24" s="2" t="s">
        <v>54</v>
      </c>
      <c r="BJ24" s="2" t="s">
        <v>54</v>
      </c>
      <c r="BK24" s="371" t="s">
        <v>54</v>
      </c>
      <c r="BL24" s="2" t="s">
        <v>54</v>
      </c>
      <c r="BM24" s="2" t="s">
        <v>54</v>
      </c>
      <c r="BN24" s="2" t="s">
        <v>54</v>
      </c>
      <c r="BO24" s="2" t="s">
        <v>54</v>
      </c>
      <c r="BP24" s="2" t="s">
        <v>54</v>
      </c>
      <c r="BQ24" s="2" t="s">
        <v>54</v>
      </c>
      <c r="BR24" s="2" t="s">
        <v>54</v>
      </c>
      <c r="BS24" s="2" t="s">
        <v>54</v>
      </c>
      <c r="BT24" s="2" t="s">
        <v>54</v>
      </c>
      <c r="BU24" s="370" t="s">
        <v>54</v>
      </c>
      <c r="BV24" s="2" t="s">
        <v>54</v>
      </c>
      <c r="BW24" s="381" t="s">
        <v>54</v>
      </c>
      <c r="BX24" s="381" t="s">
        <v>54</v>
      </c>
      <c r="BY24" s="381" t="s">
        <v>54</v>
      </c>
      <c r="BZ24" s="381" t="s">
        <v>54</v>
      </c>
      <c r="CA24" s="381" t="s">
        <v>54</v>
      </c>
      <c r="CB24" s="2" t="s">
        <v>54</v>
      </c>
      <c r="CC24" s="2" t="s">
        <v>54</v>
      </c>
      <c r="CD24" s="2" t="s">
        <v>54</v>
      </c>
      <c r="CE24" s="370" t="s">
        <v>54</v>
      </c>
      <c r="CF24" s="2" t="s">
        <v>54</v>
      </c>
      <c r="CG24" s="381" t="s">
        <v>54</v>
      </c>
      <c r="CH24" s="381" t="s">
        <v>54</v>
      </c>
      <c r="CI24" s="381" t="s">
        <v>54</v>
      </c>
      <c r="CJ24" s="2" t="s">
        <v>54</v>
      </c>
      <c r="CK24" s="2" t="s">
        <v>54</v>
      </c>
      <c r="CL24" s="2" t="s">
        <v>54</v>
      </c>
      <c r="CM24" s="534"/>
      <c r="CN24" s="534"/>
      <c r="CO24" s="497"/>
      <c r="CP24" s="497"/>
      <c r="CQ24" s="497"/>
      <c r="CR24" s="497"/>
      <c r="CS24" s="497"/>
      <c r="CT24" s="497"/>
      <c r="CU24" s="497"/>
      <c r="CV24" s="497"/>
      <c r="CW24" s="497"/>
      <c r="CX24" s="497"/>
      <c r="CY24" s="497"/>
      <c r="CZ24" s="497"/>
      <c r="DA24" s="497"/>
      <c r="DB24" s="497"/>
      <c r="DC24" s="497"/>
      <c r="DD24" s="497"/>
      <c r="DE24" s="497"/>
      <c r="DF24" s="497"/>
      <c r="DG24" s="497"/>
      <c r="DH24" s="497"/>
      <c r="DI24" s="497"/>
      <c r="DJ24" s="497"/>
      <c r="DK24" s="497"/>
      <c r="DL24" s="497"/>
      <c r="DM24" s="381" t="s">
        <v>54</v>
      </c>
      <c r="DN24" s="487"/>
      <c r="DO24" s="381" t="s">
        <v>54</v>
      </c>
      <c r="DP24" s="385" t="s">
        <v>54</v>
      </c>
      <c r="DQ24" s="385" t="s">
        <v>54</v>
      </c>
      <c r="DR24" s="381" t="s">
        <v>54</v>
      </c>
      <c r="DS24" s="381" t="s">
        <v>54</v>
      </c>
      <c r="DT24" s="381" t="s">
        <v>54</v>
      </c>
      <c r="DU24" s="381" t="s">
        <v>54</v>
      </c>
      <c r="DV24" s="381" t="s">
        <v>54</v>
      </c>
      <c r="DW24" s="381" t="s">
        <v>54</v>
      </c>
      <c r="DX24" s="490"/>
      <c r="DY24" s="405" t="s">
        <v>54</v>
      </c>
      <c r="DZ24" s="490"/>
      <c r="EA24" s="405" t="s">
        <v>54</v>
      </c>
      <c r="EB24" s="405" t="s">
        <v>54</v>
      </c>
      <c r="EC24" s="405" t="s">
        <v>54</v>
      </c>
      <c r="ED24" s="381" t="s">
        <v>54</v>
      </c>
      <c r="EE24" s="381" t="s">
        <v>54</v>
      </c>
      <c r="EF24" s="381" t="s">
        <v>54</v>
      </c>
      <c r="EG24" s="381" t="s">
        <v>54</v>
      </c>
      <c r="EH24" s="381" t="s">
        <v>54</v>
      </c>
      <c r="EI24" s="381" t="s">
        <v>54</v>
      </c>
      <c r="EJ24" s="381" t="s">
        <v>54</v>
      </c>
      <c r="EK24" s="381" t="s">
        <v>54</v>
      </c>
      <c r="EL24" s="381" t="s">
        <v>54</v>
      </c>
      <c r="EM24" s="381" t="s">
        <v>54</v>
      </c>
      <c r="EN24" s="381" t="s">
        <v>54</v>
      </c>
      <c r="EO24" s="381" t="s">
        <v>54</v>
      </c>
      <c r="EP24" s="381" t="s">
        <v>54</v>
      </c>
      <c r="EQ24" s="381" t="s">
        <v>54</v>
      </c>
      <c r="ER24" s="381" t="s">
        <v>54</v>
      </c>
      <c r="ES24" s="381" t="s">
        <v>54</v>
      </c>
      <c r="ET24" s="381" t="s">
        <v>54</v>
      </c>
      <c r="EU24" s="381" t="s">
        <v>54</v>
      </c>
    </row>
    <row r="25" spans="1:151" s="1" customFormat="1" ht="19.899999999999999" customHeight="1">
      <c r="A25" s="494"/>
      <c r="B25" s="494"/>
      <c r="C25" s="488"/>
      <c r="D25" s="508"/>
      <c r="E25" s="508"/>
      <c r="F25" s="541"/>
      <c r="G25" s="515"/>
      <c r="H25" s="508"/>
      <c r="I25" s="541"/>
      <c r="J25" s="508"/>
      <c r="K25" s="494"/>
      <c r="L25" s="498"/>
      <c r="M25" s="494"/>
      <c r="N25" s="488"/>
      <c r="O25" s="515"/>
      <c r="P25" s="532"/>
      <c r="Q25" s="498"/>
      <c r="R25" s="2" t="s">
        <v>54</v>
      </c>
      <c r="S25" s="382" t="s">
        <v>52</v>
      </c>
      <c r="T25" s="371" t="s">
        <v>54</v>
      </c>
      <c r="U25" s="373" t="s">
        <v>54</v>
      </c>
      <c r="V25" s="2" t="s">
        <v>54</v>
      </c>
      <c r="W25" s="372" t="s">
        <v>54</v>
      </c>
      <c r="X25" s="490"/>
      <c r="Y25" s="372" t="s">
        <v>54</v>
      </c>
      <c r="Z25" s="521"/>
      <c r="AA25" s="383" t="s">
        <v>54</v>
      </c>
      <c r="AB25" s="494"/>
      <c r="AC25" s="2" t="s">
        <v>54</v>
      </c>
      <c r="AD25" s="498"/>
      <c r="AE25" s="405" t="s">
        <v>54</v>
      </c>
      <c r="AF25" s="372" t="s">
        <v>54</v>
      </c>
      <c r="AG25" s="372" t="s">
        <v>54</v>
      </c>
      <c r="AH25" s="372" t="s">
        <v>54</v>
      </c>
      <c r="AI25" s="372" t="s">
        <v>54</v>
      </c>
      <c r="AJ25" s="530"/>
      <c r="AK25" s="533"/>
      <c r="AL25" s="533"/>
      <c r="AM25" s="533"/>
      <c r="AN25" s="533"/>
      <c r="AO25" s="533"/>
      <c r="AP25" s="2" t="s">
        <v>54</v>
      </c>
      <c r="AQ25" s="547"/>
      <c r="AR25" s="2" t="s">
        <v>54</v>
      </c>
      <c r="AS25" s="366" t="s">
        <v>54</v>
      </c>
      <c r="AT25" s="366" t="s">
        <v>54</v>
      </c>
      <c r="AU25" s="2" t="s">
        <v>54</v>
      </c>
      <c r="AV25" s="2" t="s">
        <v>54</v>
      </c>
      <c r="AW25" s="2" t="s">
        <v>54</v>
      </c>
      <c r="AX25" s="2" t="s">
        <v>54</v>
      </c>
      <c r="AY25" s="380" t="s">
        <v>54</v>
      </c>
      <c r="AZ25" s="378" t="s">
        <v>54</v>
      </c>
      <c r="BA25" s="537"/>
      <c r="BB25" s="378" t="s">
        <v>54</v>
      </c>
      <c r="BC25" s="547"/>
      <c r="BD25" s="378" t="s">
        <v>54</v>
      </c>
      <c r="BE25" s="378" t="s">
        <v>54</v>
      </c>
      <c r="BF25" s="378" t="s">
        <v>54</v>
      </c>
      <c r="BG25" s="2" t="s">
        <v>54</v>
      </c>
      <c r="BH25" s="2" t="s">
        <v>54</v>
      </c>
      <c r="BI25" s="2" t="s">
        <v>54</v>
      </c>
      <c r="BJ25" s="2" t="s">
        <v>54</v>
      </c>
      <c r="BK25" s="371" t="s">
        <v>54</v>
      </c>
      <c r="BL25" s="2" t="s">
        <v>54</v>
      </c>
      <c r="BM25" s="2" t="s">
        <v>54</v>
      </c>
      <c r="BN25" s="2" t="s">
        <v>54</v>
      </c>
      <c r="BO25" s="2" t="s">
        <v>54</v>
      </c>
      <c r="BP25" s="2" t="s">
        <v>54</v>
      </c>
      <c r="BQ25" s="2" t="s">
        <v>54</v>
      </c>
      <c r="BR25" s="2" t="s">
        <v>54</v>
      </c>
      <c r="BS25" s="2" t="s">
        <v>54</v>
      </c>
      <c r="BT25" s="2" t="s">
        <v>54</v>
      </c>
      <c r="BU25" s="370" t="s">
        <v>54</v>
      </c>
      <c r="BV25" s="2" t="s">
        <v>54</v>
      </c>
      <c r="BW25" s="381" t="s">
        <v>54</v>
      </c>
      <c r="BX25" s="381" t="s">
        <v>54</v>
      </c>
      <c r="BY25" s="381" t="s">
        <v>54</v>
      </c>
      <c r="BZ25" s="381" t="s">
        <v>54</v>
      </c>
      <c r="CA25" s="381" t="s">
        <v>54</v>
      </c>
      <c r="CB25" s="2" t="s">
        <v>54</v>
      </c>
      <c r="CC25" s="2" t="s">
        <v>54</v>
      </c>
      <c r="CD25" s="2" t="s">
        <v>54</v>
      </c>
      <c r="CE25" s="370" t="s">
        <v>54</v>
      </c>
      <c r="CF25" s="2" t="s">
        <v>54</v>
      </c>
      <c r="CG25" s="381" t="s">
        <v>54</v>
      </c>
      <c r="CH25" s="381" t="s">
        <v>54</v>
      </c>
      <c r="CI25" s="381" t="s">
        <v>54</v>
      </c>
      <c r="CJ25" s="2" t="s">
        <v>54</v>
      </c>
      <c r="CK25" s="2" t="s">
        <v>54</v>
      </c>
      <c r="CL25" s="2" t="s">
        <v>54</v>
      </c>
      <c r="CM25" s="535"/>
      <c r="CN25" s="535"/>
      <c r="CO25" s="498"/>
      <c r="CP25" s="498"/>
      <c r="CQ25" s="498"/>
      <c r="CR25" s="498"/>
      <c r="CS25" s="498"/>
      <c r="CT25" s="498"/>
      <c r="CU25" s="498"/>
      <c r="CV25" s="498"/>
      <c r="CW25" s="498"/>
      <c r="CX25" s="498"/>
      <c r="CY25" s="498"/>
      <c r="CZ25" s="498"/>
      <c r="DA25" s="498"/>
      <c r="DB25" s="498"/>
      <c r="DC25" s="498"/>
      <c r="DD25" s="498"/>
      <c r="DE25" s="498"/>
      <c r="DF25" s="498"/>
      <c r="DG25" s="498"/>
      <c r="DH25" s="498"/>
      <c r="DI25" s="498"/>
      <c r="DJ25" s="498"/>
      <c r="DK25" s="498"/>
      <c r="DL25" s="498"/>
      <c r="DM25" s="381" t="s">
        <v>54</v>
      </c>
      <c r="DN25" s="488"/>
      <c r="DO25" s="381" t="s">
        <v>54</v>
      </c>
      <c r="DP25" s="385" t="s">
        <v>54</v>
      </c>
      <c r="DQ25" s="385" t="s">
        <v>54</v>
      </c>
      <c r="DR25" s="381" t="s">
        <v>54</v>
      </c>
      <c r="DS25" s="381" t="s">
        <v>54</v>
      </c>
      <c r="DT25" s="381" t="s">
        <v>54</v>
      </c>
      <c r="DU25" s="381" t="s">
        <v>54</v>
      </c>
      <c r="DV25" s="381" t="s">
        <v>54</v>
      </c>
      <c r="DW25" s="381" t="s">
        <v>54</v>
      </c>
      <c r="DX25" s="490"/>
      <c r="DY25" s="405" t="s">
        <v>54</v>
      </c>
      <c r="DZ25" s="490"/>
      <c r="EA25" s="405" t="s">
        <v>54</v>
      </c>
      <c r="EB25" s="405" t="s">
        <v>54</v>
      </c>
      <c r="EC25" s="405" t="s">
        <v>54</v>
      </c>
      <c r="ED25" s="381" t="s">
        <v>54</v>
      </c>
      <c r="EE25" s="381" t="s">
        <v>54</v>
      </c>
      <c r="EF25" s="381" t="s">
        <v>54</v>
      </c>
      <c r="EG25" s="381" t="s">
        <v>54</v>
      </c>
      <c r="EH25" s="381" t="s">
        <v>54</v>
      </c>
      <c r="EI25" s="381" t="s">
        <v>54</v>
      </c>
      <c r="EJ25" s="381" t="s">
        <v>54</v>
      </c>
      <c r="EK25" s="381" t="s">
        <v>54</v>
      </c>
      <c r="EL25" s="381" t="s">
        <v>54</v>
      </c>
      <c r="EM25" s="381" t="s">
        <v>54</v>
      </c>
      <c r="EN25" s="381" t="s">
        <v>54</v>
      </c>
      <c r="EO25" s="381" t="s">
        <v>54</v>
      </c>
      <c r="EP25" s="381" t="s">
        <v>54</v>
      </c>
      <c r="EQ25" s="381" t="s">
        <v>54</v>
      </c>
      <c r="ER25" s="381" t="s">
        <v>54</v>
      </c>
      <c r="ES25" s="381" t="s">
        <v>54</v>
      </c>
      <c r="ET25" s="381" t="s">
        <v>54</v>
      </c>
      <c r="EU25" s="381" t="s">
        <v>54</v>
      </c>
    </row>
    <row r="26" spans="1:151" s="1" customFormat="1" ht="19.899999999999999" customHeight="1">
      <c r="A26" s="491">
        <v>6</v>
      </c>
      <c r="B26" s="491">
        <v>10</v>
      </c>
      <c r="C26" s="486" t="s">
        <v>2797</v>
      </c>
      <c r="D26" s="495" t="s">
        <v>2698</v>
      </c>
      <c r="E26" s="548" t="s">
        <v>2671</v>
      </c>
      <c r="F26" s="538" t="s">
        <v>2682</v>
      </c>
      <c r="G26" s="512" t="s">
        <v>2906</v>
      </c>
      <c r="H26" s="495" t="s">
        <v>2692</v>
      </c>
      <c r="I26" s="549" t="s">
        <v>2907</v>
      </c>
      <c r="J26" s="495" t="s">
        <v>2712</v>
      </c>
      <c r="K26" s="516" t="s">
        <v>3108</v>
      </c>
      <c r="L26" s="495" t="s">
        <v>3133</v>
      </c>
      <c r="M26" s="491" t="s">
        <v>2882</v>
      </c>
      <c r="N26" s="486" t="s">
        <v>3133</v>
      </c>
      <c r="O26" s="512" t="s">
        <v>2881</v>
      </c>
      <c r="P26" s="517" t="s">
        <v>2922</v>
      </c>
      <c r="Q26" s="495">
        <v>2</v>
      </c>
      <c r="R26" s="2" t="s">
        <v>2725</v>
      </c>
      <c r="S26" s="382" t="s">
        <v>52</v>
      </c>
      <c r="T26" s="371" t="s">
        <v>2753</v>
      </c>
      <c r="U26" s="387" t="s">
        <v>52</v>
      </c>
      <c r="V26" s="387" t="s">
        <v>52</v>
      </c>
      <c r="W26" s="372">
        <v>14</v>
      </c>
      <c r="X26" s="489">
        <v>28</v>
      </c>
      <c r="Y26" s="387" t="s">
        <v>52</v>
      </c>
      <c r="Z26" s="520" t="s">
        <v>52</v>
      </c>
      <c r="AA26" s="383">
        <v>14</v>
      </c>
      <c r="AB26" s="491">
        <v>28</v>
      </c>
      <c r="AC26" s="387" t="s">
        <v>52</v>
      </c>
      <c r="AD26" s="495" t="s">
        <v>52</v>
      </c>
      <c r="AE26" s="404" t="s">
        <v>52</v>
      </c>
      <c r="AF26" s="387" t="s">
        <v>52</v>
      </c>
      <c r="AG26" s="387" t="s">
        <v>52</v>
      </c>
      <c r="AH26" s="387" t="s">
        <v>52</v>
      </c>
      <c r="AI26" s="387" t="s">
        <v>52</v>
      </c>
      <c r="AJ26" s="528" t="s">
        <v>2714</v>
      </c>
      <c r="AK26" s="533" t="s">
        <v>3320</v>
      </c>
      <c r="AL26" s="533">
        <v>35</v>
      </c>
      <c r="AM26" s="533">
        <v>14</v>
      </c>
      <c r="AN26" s="533" t="s">
        <v>52</v>
      </c>
      <c r="AO26" s="533" t="s">
        <v>2744</v>
      </c>
      <c r="AP26" s="3">
        <v>14</v>
      </c>
      <c r="AQ26" s="543">
        <f t="shared" ref="AQ26" si="5">AP26+AP27</f>
        <v>14</v>
      </c>
      <c r="AR26" s="2">
        <v>11.8</v>
      </c>
      <c r="AS26" s="366" t="s">
        <v>52</v>
      </c>
      <c r="AT26" s="366" t="s">
        <v>52</v>
      </c>
      <c r="AU26" s="366" t="s">
        <v>52</v>
      </c>
      <c r="AV26" s="366" t="s">
        <v>52</v>
      </c>
      <c r="AW26" s="366" t="s">
        <v>52</v>
      </c>
      <c r="AX26" s="366" t="s">
        <v>52</v>
      </c>
      <c r="AY26" s="366" t="s">
        <v>52</v>
      </c>
      <c r="AZ26" s="366" t="s">
        <v>52</v>
      </c>
      <c r="BA26" s="536" t="s">
        <v>2808</v>
      </c>
      <c r="BB26" s="378" t="s">
        <v>52</v>
      </c>
      <c r="BC26" s="543" t="s">
        <v>52</v>
      </c>
      <c r="BD26" s="378" t="s">
        <v>52</v>
      </c>
      <c r="BE26" s="388" t="s">
        <v>52</v>
      </c>
      <c r="BF26" s="388" t="s">
        <v>52</v>
      </c>
      <c r="BG26" s="388" t="s">
        <v>52</v>
      </c>
      <c r="BH26" s="388" t="s">
        <v>52</v>
      </c>
      <c r="BI26" s="388" t="s">
        <v>52</v>
      </c>
      <c r="BJ26" s="388" t="s">
        <v>52</v>
      </c>
      <c r="BK26" s="406" t="s">
        <v>52</v>
      </c>
      <c r="BL26" s="2" t="s">
        <v>52</v>
      </c>
      <c r="BM26" s="2" t="s">
        <v>52</v>
      </c>
      <c r="BN26" s="2" t="s">
        <v>52</v>
      </c>
      <c r="BO26" s="2" t="s">
        <v>52</v>
      </c>
      <c r="BP26" s="2" t="s">
        <v>52</v>
      </c>
      <c r="BQ26" s="2" t="s">
        <v>52</v>
      </c>
      <c r="BR26" s="2" t="s">
        <v>52</v>
      </c>
      <c r="BS26" s="2" t="s">
        <v>52</v>
      </c>
      <c r="BT26" s="388" t="s">
        <v>52</v>
      </c>
      <c r="BU26" s="370" t="s">
        <v>52</v>
      </c>
      <c r="BV26" s="370" t="s">
        <v>52</v>
      </c>
      <c r="BW26" s="383" t="s">
        <v>52</v>
      </c>
      <c r="BX26" s="383" t="s">
        <v>52</v>
      </c>
      <c r="BY26" s="383" t="s">
        <v>52</v>
      </c>
      <c r="BZ26" s="383" t="s">
        <v>52</v>
      </c>
      <c r="CA26" s="383" t="s">
        <v>52</v>
      </c>
      <c r="CB26" s="2" t="s">
        <v>52</v>
      </c>
      <c r="CC26" s="2" t="s">
        <v>52</v>
      </c>
      <c r="CD26" s="2" t="s">
        <v>52</v>
      </c>
      <c r="CE26" s="370" t="s">
        <v>52</v>
      </c>
      <c r="CF26" s="2" t="s">
        <v>52</v>
      </c>
      <c r="CG26" s="383" t="s">
        <v>52</v>
      </c>
      <c r="CH26" s="383" t="s">
        <v>52</v>
      </c>
      <c r="CI26" s="383" t="s">
        <v>52</v>
      </c>
      <c r="CJ26" s="2" t="s">
        <v>52</v>
      </c>
      <c r="CK26" s="2" t="s">
        <v>52</v>
      </c>
      <c r="CL26" s="2" t="s">
        <v>52</v>
      </c>
      <c r="CM26" s="528" t="s">
        <v>54</v>
      </c>
      <c r="CN26" s="528" t="s">
        <v>54</v>
      </c>
      <c r="CO26" s="495" t="s">
        <v>54</v>
      </c>
      <c r="CP26" s="495" t="s">
        <v>54</v>
      </c>
      <c r="CQ26" s="495" t="s">
        <v>54</v>
      </c>
      <c r="CR26" s="495" t="s">
        <v>54</v>
      </c>
      <c r="CS26" s="495" t="s">
        <v>54</v>
      </c>
      <c r="CT26" s="495" t="s">
        <v>54</v>
      </c>
      <c r="CU26" s="495" t="s">
        <v>54</v>
      </c>
      <c r="CV26" s="495" t="s">
        <v>54</v>
      </c>
      <c r="CW26" s="495" t="s">
        <v>54</v>
      </c>
      <c r="CX26" s="495" t="s">
        <v>54</v>
      </c>
      <c r="CY26" s="495" t="s">
        <v>54</v>
      </c>
      <c r="CZ26" s="495" t="s">
        <v>54</v>
      </c>
      <c r="DA26" s="495" t="s">
        <v>54</v>
      </c>
      <c r="DB26" s="495" t="s">
        <v>54</v>
      </c>
      <c r="DC26" s="495" t="s">
        <v>54</v>
      </c>
      <c r="DD26" s="495" t="s">
        <v>54</v>
      </c>
      <c r="DE26" s="495" t="s">
        <v>54</v>
      </c>
      <c r="DF26" s="495" t="s">
        <v>54</v>
      </c>
      <c r="DG26" s="495" t="s">
        <v>54</v>
      </c>
      <c r="DH26" s="495" t="s">
        <v>54</v>
      </c>
      <c r="DI26" s="495" t="s">
        <v>54</v>
      </c>
      <c r="DJ26" s="495" t="s">
        <v>54</v>
      </c>
      <c r="DK26" s="495" t="s">
        <v>54</v>
      </c>
      <c r="DL26" s="495" t="s">
        <v>54</v>
      </c>
      <c r="DM26" s="381" t="s">
        <v>54</v>
      </c>
      <c r="DN26" s="486" t="s">
        <v>54</v>
      </c>
      <c r="DO26" s="381" t="s">
        <v>54</v>
      </c>
      <c r="DP26" s="385" t="s">
        <v>54</v>
      </c>
      <c r="DQ26" s="385" t="s">
        <v>54</v>
      </c>
      <c r="DR26" s="381" t="s">
        <v>54</v>
      </c>
      <c r="DS26" s="381" t="s">
        <v>54</v>
      </c>
      <c r="DT26" s="381" t="s">
        <v>54</v>
      </c>
      <c r="DU26" s="381" t="s">
        <v>54</v>
      </c>
      <c r="DV26" s="381" t="s">
        <v>54</v>
      </c>
      <c r="DW26" s="381" t="s">
        <v>54</v>
      </c>
      <c r="DX26" s="489" t="s">
        <v>54</v>
      </c>
      <c r="DY26" s="405" t="s">
        <v>54</v>
      </c>
      <c r="DZ26" s="489" t="s">
        <v>54</v>
      </c>
      <c r="EA26" s="405" t="s">
        <v>54</v>
      </c>
      <c r="EB26" s="405" t="s">
        <v>54</v>
      </c>
      <c r="EC26" s="405" t="s">
        <v>54</v>
      </c>
      <c r="ED26" s="381" t="s">
        <v>54</v>
      </c>
      <c r="EE26" s="381" t="s">
        <v>54</v>
      </c>
      <c r="EF26" s="381" t="s">
        <v>54</v>
      </c>
      <c r="EG26" s="381" t="s">
        <v>54</v>
      </c>
      <c r="EH26" s="381" t="s">
        <v>54</v>
      </c>
      <c r="EI26" s="381" t="s">
        <v>54</v>
      </c>
      <c r="EJ26" s="381" t="s">
        <v>54</v>
      </c>
      <c r="EK26" s="381" t="s">
        <v>54</v>
      </c>
      <c r="EL26" s="381" t="s">
        <v>54</v>
      </c>
      <c r="EM26" s="381" t="s">
        <v>54</v>
      </c>
      <c r="EN26" s="381" t="s">
        <v>54</v>
      </c>
      <c r="EO26" s="381" t="s">
        <v>54</v>
      </c>
      <c r="EP26" s="381" t="s">
        <v>54</v>
      </c>
      <c r="EQ26" s="381" t="s">
        <v>54</v>
      </c>
      <c r="ER26" s="381" t="s">
        <v>54</v>
      </c>
      <c r="ES26" s="381" t="s">
        <v>54</v>
      </c>
      <c r="ET26" s="381" t="s">
        <v>54</v>
      </c>
      <c r="EU26" s="381" t="s">
        <v>54</v>
      </c>
    </row>
    <row r="27" spans="1:151" s="1" customFormat="1" ht="19.899999999999999" customHeight="1">
      <c r="A27" s="492"/>
      <c r="B27" s="492"/>
      <c r="C27" s="487"/>
      <c r="D27" s="506"/>
      <c r="E27" s="506"/>
      <c r="F27" s="539"/>
      <c r="G27" s="513"/>
      <c r="H27" s="506"/>
      <c r="I27" s="539"/>
      <c r="J27" s="506"/>
      <c r="K27" s="492"/>
      <c r="L27" s="496"/>
      <c r="M27" s="492"/>
      <c r="N27" s="487"/>
      <c r="O27" s="513"/>
      <c r="P27" s="531"/>
      <c r="Q27" s="496"/>
      <c r="R27" s="3" t="s">
        <v>2726</v>
      </c>
      <c r="S27" s="382" t="s">
        <v>52</v>
      </c>
      <c r="T27" s="371" t="s">
        <v>2753</v>
      </c>
      <c r="U27" s="387" t="s">
        <v>52</v>
      </c>
      <c r="V27" s="387" t="s">
        <v>52</v>
      </c>
      <c r="W27" s="372">
        <v>14</v>
      </c>
      <c r="X27" s="490"/>
      <c r="Y27" s="387" t="s">
        <v>52</v>
      </c>
      <c r="Z27" s="521"/>
      <c r="AA27" s="383">
        <v>14</v>
      </c>
      <c r="AB27" s="492"/>
      <c r="AC27" s="387" t="s">
        <v>52</v>
      </c>
      <c r="AD27" s="496"/>
      <c r="AE27" s="404" t="s">
        <v>52</v>
      </c>
      <c r="AF27" s="387" t="s">
        <v>52</v>
      </c>
      <c r="AG27" s="387" t="s">
        <v>52</v>
      </c>
      <c r="AH27" s="387" t="s">
        <v>52</v>
      </c>
      <c r="AI27" s="387" t="s">
        <v>52</v>
      </c>
      <c r="AJ27" s="529"/>
      <c r="AK27" s="533"/>
      <c r="AL27" s="533"/>
      <c r="AM27" s="533"/>
      <c r="AN27" s="533"/>
      <c r="AO27" s="533"/>
      <c r="AP27" s="3">
        <v>0</v>
      </c>
      <c r="AQ27" s="546"/>
      <c r="AR27" s="2">
        <v>7.8</v>
      </c>
      <c r="AS27" s="366" t="s">
        <v>52</v>
      </c>
      <c r="AT27" s="366" t="s">
        <v>52</v>
      </c>
      <c r="AU27" s="366" t="s">
        <v>52</v>
      </c>
      <c r="AV27" s="366" t="s">
        <v>52</v>
      </c>
      <c r="AW27" s="366" t="s">
        <v>52</v>
      </c>
      <c r="AX27" s="366" t="s">
        <v>52</v>
      </c>
      <c r="AY27" s="366" t="s">
        <v>52</v>
      </c>
      <c r="AZ27" s="366" t="s">
        <v>52</v>
      </c>
      <c r="BA27" s="537"/>
      <c r="BB27" s="378" t="s">
        <v>52</v>
      </c>
      <c r="BC27" s="546"/>
      <c r="BD27" s="388" t="s">
        <v>52</v>
      </c>
      <c r="BE27" s="388" t="s">
        <v>52</v>
      </c>
      <c r="BF27" s="388" t="s">
        <v>52</v>
      </c>
      <c r="BG27" s="388" t="s">
        <v>52</v>
      </c>
      <c r="BH27" s="388" t="s">
        <v>52</v>
      </c>
      <c r="BI27" s="388" t="s">
        <v>52</v>
      </c>
      <c r="BJ27" s="388" t="s">
        <v>52</v>
      </c>
      <c r="BK27" s="406" t="s">
        <v>52</v>
      </c>
      <c r="BL27" s="2" t="s">
        <v>52</v>
      </c>
      <c r="BM27" s="2" t="s">
        <v>52</v>
      </c>
      <c r="BN27" s="2" t="s">
        <v>52</v>
      </c>
      <c r="BO27" s="2" t="s">
        <v>52</v>
      </c>
      <c r="BP27" s="2" t="s">
        <v>52</v>
      </c>
      <c r="BQ27" s="2" t="s">
        <v>52</v>
      </c>
      <c r="BR27" s="2" t="s">
        <v>52</v>
      </c>
      <c r="BS27" s="2" t="s">
        <v>52</v>
      </c>
      <c r="BT27" s="388" t="s">
        <v>52</v>
      </c>
      <c r="BU27" s="370" t="s">
        <v>52</v>
      </c>
      <c r="BV27" s="370" t="s">
        <v>52</v>
      </c>
      <c r="BW27" s="383" t="s">
        <v>52</v>
      </c>
      <c r="BX27" s="383" t="s">
        <v>52</v>
      </c>
      <c r="BY27" s="383" t="s">
        <v>52</v>
      </c>
      <c r="BZ27" s="383" t="s">
        <v>52</v>
      </c>
      <c r="CA27" s="383" t="s">
        <v>52</v>
      </c>
      <c r="CB27" s="2" t="s">
        <v>52</v>
      </c>
      <c r="CC27" s="2" t="s">
        <v>52</v>
      </c>
      <c r="CD27" s="2" t="s">
        <v>52</v>
      </c>
      <c r="CE27" s="370" t="s">
        <v>52</v>
      </c>
      <c r="CF27" s="2" t="s">
        <v>52</v>
      </c>
      <c r="CG27" s="383" t="s">
        <v>52</v>
      </c>
      <c r="CH27" s="383" t="s">
        <v>52</v>
      </c>
      <c r="CI27" s="383" t="s">
        <v>52</v>
      </c>
      <c r="CJ27" s="2" t="s">
        <v>52</v>
      </c>
      <c r="CK27" s="2" t="s">
        <v>52</v>
      </c>
      <c r="CL27" s="2" t="s">
        <v>52</v>
      </c>
      <c r="CM27" s="534"/>
      <c r="CN27" s="534"/>
      <c r="CO27" s="496"/>
      <c r="CP27" s="496"/>
      <c r="CQ27" s="496"/>
      <c r="CR27" s="496"/>
      <c r="CS27" s="496"/>
      <c r="CT27" s="496"/>
      <c r="CU27" s="496"/>
      <c r="CV27" s="496"/>
      <c r="CW27" s="496"/>
      <c r="CX27" s="496"/>
      <c r="CY27" s="496"/>
      <c r="CZ27" s="496"/>
      <c r="DA27" s="496"/>
      <c r="DB27" s="496"/>
      <c r="DC27" s="496"/>
      <c r="DD27" s="496"/>
      <c r="DE27" s="496"/>
      <c r="DF27" s="496"/>
      <c r="DG27" s="496"/>
      <c r="DH27" s="496"/>
      <c r="DI27" s="496"/>
      <c r="DJ27" s="496"/>
      <c r="DK27" s="496"/>
      <c r="DL27" s="496"/>
      <c r="DM27" s="381" t="s">
        <v>54</v>
      </c>
      <c r="DN27" s="487"/>
      <c r="DO27" s="381" t="s">
        <v>54</v>
      </c>
      <c r="DP27" s="385" t="s">
        <v>54</v>
      </c>
      <c r="DQ27" s="385" t="s">
        <v>54</v>
      </c>
      <c r="DR27" s="381" t="s">
        <v>54</v>
      </c>
      <c r="DS27" s="381" t="s">
        <v>54</v>
      </c>
      <c r="DT27" s="381" t="s">
        <v>54</v>
      </c>
      <c r="DU27" s="381" t="s">
        <v>54</v>
      </c>
      <c r="DV27" s="381" t="s">
        <v>54</v>
      </c>
      <c r="DW27" s="381" t="s">
        <v>54</v>
      </c>
      <c r="DX27" s="490"/>
      <c r="DY27" s="405" t="s">
        <v>54</v>
      </c>
      <c r="DZ27" s="490"/>
      <c r="EA27" s="405" t="s">
        <v>54</v>
      </c>
      <c r="EB27" s="405" t="s">
        <v>54</v>
      </c>
      <c r="EC27" s="405" t="s">
        <v>54</v>
      </c>
      <c r="ED27" s="381" t="s">
        <v>54</v>
      </c>
      <c r="EE27" s="381" t="s">
        <v>54</v>
      </c>
      <c r="EF27" s="381" t="s">
        <v>54</v>
      </c>
      <c r="EG27" s="381" t="s">
        <v>54</v>
      </c>
      <c r="EH27" s="381" t="s">
        <v>54</v>
      </c>
      <c r="EI27" s="381" t="s">
        <v>54</v>
      </c>
      <c r="EJ27" s="381" t="s">
        <v>54</v>
      </c>
      <c r="EK27" s="381" t="s">
        <v>54</v>
      </c>
      <c r="EL27" s="381" t="s">
        <v>54</v>
      </c>
      <c r="EM27" s="381" t="s">
        <v>54</v>
      </c>
      <c r="EN27" s="381" t="s">
        <v>54</v>
      </c>
      <c r="EO27" s="381" t="s">
        <v>54</v>
      </c>
      <c r="EP27" s="381" t="s">
        <v>54</v>
      </c>
      <c r="EQ27" s="381" t="s">
        <v>54</v>
      </c>
      <c r="ER27" s="381" t="s">
        <v>54</v>
      </c>
      <c r="ES27" s="381" t="s">
        <v>54</v>
      </c>
      <c r="ET27" s="381" t="s">
        <v>54</v>
      </c>
      <c r="EU27" s="381" t="s">
        <v>54</v>
      </c>
    </row>
    <row r="28" spans="1:151" s="1" customFormat="1" ht="19.899999999999999" customHeight="1">
      <c r="A28" s="493"/>
      <c r="B28" s="493"/>
      <c r="C28" s="487"/>
      <c r="D28" s="507"/>
      <c r="E28" s="507"/>
      <c r="F28" s="540"/>
      <c r="G28" s="514"/>
      <c r="H28" s="507"/>
      <c r="I28" s="540"/>
      <c r="J28" s="507"/>
      <c r="K28" s="493"/>
      <c r="L28" s="497"/>
      <c r="M28" s="493"/>
      <c r="N28" s="487"/>
      <c r="O28" s="514"/>
      <c r="P28" s="531"/>
      <c r="Q28" s="497"/>
      <c r="R28" s="2" t="s">
        <v>54</v>
      </c>
      <c r="S28" s="382" t="s">
        <v>54</v>
      </c>
      <c r="T28" s="371" t="s">
        <v>54</v>
      </c>
      <c r="U28" s="373" t="s">
        <v>54</v>
      </c>
      <c r="V28" s="2" t="s">
        <v>54</v>
      </c>
      <c r="W28" s="372" t="s">
        <v>54</v>
      </c>
      <c r="X28" s="490"/>
      <c r="Y28" s="372" t="s">
        <v>54</v>
      </c>
      <c r="Z28" s="521"/>
      <c r="AA28" s="383" t="s">
        <v>54</v>
      </c>
      <c r="AB28" s="493"/>
      <c r="AC28" s="2" t="s">
        <v>54</v>
      </c>
      <c r="AD28" s="497"/>
      <c r="AE28" s="405" t="s">
        <v>54</v>
      </c>
      <c r="AF28" s="372" t="s">
        <v>54</v>
      </c>
      <c r="AG28" s="372" t="s">
        <v>54</v>
      </c>
      <c r="AH28" s="372" t="s">
        <v>54</v>
      </c>
      <c r="AI28" s="372" t="s">
        <v>54</v>
      </c>
      <c r="AJ28" s="529"/>
      <c r="AK28" s="533"/>
      <c r="AL28" s="533"/>
      <c r="AM28" s="533"/>
      <c r="AN28" s="533"/>
      <c r="AO28" s="533"/>
      <c r="AP28" s="2" t="s">
        <v>54</v>
      </c>
      <c r="AQ28" s="546"/>
      <c r="AR28" s="2" t="s">
        <v>54</v>
      </c>
      <c r="AS28" s="366" t="s">
        <v>54</v>
      </c>
      <c r="AT28" s="366" t="s">
        <v>54</v>
      </c>
      <c r="AU28" s="2" t="s">
        <v>54</v>
      </c>
      <c r="AV28" s="2" t="s">
        <v>54</v>
      </c>
      <c r="AW28" s="2" t="s">
        <v>54</v>
      </c>
      <c r="AX28" s="2" t="s">
        <v>54</v>
      </c>
      <c r="AY28" s="380" t="s">
        <v>54</v>
      </c>
      <c r="AZ28" s="378" t="s">
        <v>54</v>
      </c>
      <c r="BA28" s="537"/>
      <c r="BB28" s="378" t="s">
        <v>54</v>
      </c>
      <c r="BC28" s="546"/>
      <c r="BD28" s="378" t="s">
        <v>54</v>
      </c>
      <c r="BE28" s="378" t="s">
        <v>54</v>
      </c>
      <c r="BF28" s="378" t="s">
        <v>54</v>
      </c>
      <c r="BG28" s="2" t="s">
        <v>54</v>
      </c>
      <c r="BH28" s="2" t="s">
        <v>54</v>
      </c>
      <c r="BI28" s="2" t="s">
        <v>54</v>
      </c>
      <c r="BJ28" s="2" t="s">
        <v>54</v>
      </c>
      <c r="BK28" s="371" t="s">
        <v>54</v>
      </c>
      <c r="BL28" s="2" t="s">
        <v>54</v>
      </c>
      <c r="BM28" s="2" t="s">
        <v>54</v>
      </c>
      <c r="BN28" s="2" t="s">
        <v>54</v>
      </c>
      <c r="BO28" s="2" t="s">
        <v>54</v>
      </c>
      <c r="BP28" s="2" t="s">
        <v>54</v>
      </c>
      <c r="BQ28" s="2" t="s">
        <v>54</v>
      </c>
      <c r="BR28" s="2" t="s">
        <v>54</v>
      </c>
      <c r="BS28" s="2" t="s">
        <v>54</v>
      </c>
      <c r="BT28" s="2" t="s">
        <v>54</v>
      </c>
      <c r="BU28" s="370" t="s">
        <v>54</v>
      </c>
      <c r="BV28" s="2" t="s">
        <v>54</v>
      </c>
      <c r="BW28" s="383" t="s">
        <v>54</v>
      </c>
      <c r="BX28" s="381" t="s">
        <v>54</v>
      </c>
      <c r="BY28" s="383" t="s">
        <v>54</v>
      </c>
      <c r="BZ28" s="381" t="s">
        <v>54</v>
      </c>
      <c r="CA28" s="383" t="s">
        <v>54</v>
      </c>
      <c r="CB28" s="2" t="s">
        <v>54</v>
      </c>
      <c r="CC28" s="2" t="s">
        <v>54</v>
      </c>
      <c r="CD28" s="2" t="s">
        <v>54</v>
      </c>
      <c r="CE28" s="370" t="s">
        <v>54</v>
      </c>
      <c r="CF28" s="2" t="s">
        <v>54</v>
      </c>
      <c r="CG28" s="383" t="s">
        <v>54</v>
      </c>
      <c r="CH28" s="383" t="s">
        <v>54</v>
      </c>
      <c r="CI28" s="384" t="s">
        <v>54</v>
      </c>
      <c r="CJ28" s="2" t="s">
        <v>54</v>
      </c>
      <c r="CK28" s="2" t="s">
        <v>54</v>
      </c>
      <c r="CL28" s="2" t="s">
        <v>54</v>
      </c>
      <c r="CM28" s="534"/>
      <c r="CN28" s="534"/>
      <c r="CO28" s="497"/>
      <c r="CP28" s="497"/>
      <c r="CQ28" s="497"/>
      <c r="CR28" s="497"/>
      <c r="CS28" s="497"/>
      <c r="CT28" s="497"/>
      <c r="CU28" s="497"/>
      <c r="CV28" s="497"/>
      <c r="CW28" s="497"/>
      <c r="CX28" s="497"/>
      <c r="CY28" s="497"/>
      <c r="CZ28" s="497"/>
      <c r="DA28" s="497"/>
      <c r="DB28" s="497"/>
      <c r="DC28" s="497"/>
      <c r="DD28" s="497"/>
      <c r="DE28" s="497"/>
      <c r="DF28" s="497"/>
      <c r="DG28" s="497"/>
      <c r="DH28" s="497"/>
      <c r="DI28" s="497"/>
      <c r="DJ28" s="497"/>
      <c r="DK28" s="497"/>
      <c r="DL28" s="497"/>
      <c r="DM28" s="381" t="s">
        <v>54</v>
      </c>
      <c r="DN28" s="487"/>
      <c r="DO28" s="381" t="s">
        <v>54</v>
      </c>
      <c r="DP28" s="385" t="s">
        <v>54</v>
      </c>
      <c r="DQ28" s="385" t="s">
        <v>54</v>
      </c>
      <c r="DR28" s="381" t="s">
        <v>54</v>
      </c>
      <c r="DS28" s="381" t="s">
        <v>54</v>
      </c>
      <c r="DT28" s="381" t="s">
        <v>54</v>
      </c>
      <c r="DU28" s="381" t="s">
        <v>54</v>
      </c>
      <c r="DV28" s="381" t="s">
        <v>54</v>
      </c>
      <c r="DW28" s="381" t="s">
        <v>54</v>
      </c>
      <c r="DX28" s="490"/>
      <c r="DY28" s="405" t="s">
        <v>54</v>
      </c>
      <c r="DZ28" s="490"/>
      <c r="EA28" s="405" t="s">
        <v>54</v>
      </c>
      <c r="EB28" s="405" t="s">
        <v>54</v>
      </c>
      <c r="EC28" s="405" t="s">
        <v>54</v>
      </c>
      <c r="ED28" s="381" t="s">
        <v>54</v>
      </c>
      <c r="EE28" s="381" t="s">
        <v>54</v>
      </c>
      <c r="EF28" s="381" t="s">
        <v>54</v>
      </c>
      <c r="EG28" s="381" t="s">
        <v>54</v>
      </c>
      <c r="EH28" s="381" t="s">
        <v>54</v>
      </c>
      <c r="EI28" s="381" t="s">
        <v>54</v>
      </c>
      <c r="EJ28" s="381" t="s">
        <v>54</v>
      </c>
      <c r="EK28" s="381" t="s">
        <v>54</v>
      </c>
      <c r="EL28" s="381" t="s">
        <v>54</v>
      </c>
      <c r="EM28" s="381" t="s">
        <v>54</v>
      </c>
      <c r="EN28" s="381" t="s">
        <v>54</v>
      </c>
      <c r="EO28" s="381" t="s">
        <v>54</v>
      </c>
      <c r="EP28" s="381" t="s">
        <v>54</v>
      </c>
      <c r="EQ28" s="381" t="s">
        <v>54</v>
      </c>
      <c r="ER28" s="381" t="s">
        <v>54</v>
      </c>
      <c r="ES28" s="381" t="s">
        <v>54</v>
      </c>
      <c r="ET28" s="381" t="s">
        <v>54</v>
      </c>
      <c r="EU28" s="381" t="s">
        <v>54</v>
      </c>
    </row>
    <row r="29" spans="1:151" s="1" customFormat="1" ht="19.899999999999999" customHeight="1">
      <c r="A29" s="494"/>
      <c r="B29" s="494"/>
      <c r="C29" s="488"/>
      <c r="D29" s="508"/>
      <c r="E29" s="508"/>
      <c r="F29" s="541"/>
      <c r="G29" s="515"/>
      <c r="H29" s="508"/>
      <c r="I29" s="541"/>
      <c r="J29" s="508"/>
      <c r="K29" s="494"/>
      <c r="L29" s="498"/>
      <c r="M29" s="494"/>
      <c r="N29" s="488"/>
      <c r="O29" s="515"/>
      <c r="P29" s="532"/>
      <c r="Q29" s="498"/>
      <c r="R29" s="2" t="s">
        <v>54</v>
      </c>
      <c r="S29" s="382" t="s">
        <v>52</v>
      </c>
      <c r="T29" s="371" t="s">
        <v>54</v>
      </c>
      <c r="U29" s="373" t="s">
        <v>54</v>
      </c>
      <c r="V29" s="2" t="s">
        <v>54</v>
      </c>
      <c r="W29" s="372" t="s">
        <v>54</v>
      </c>
      <c r="X29" s="490"/>
      <c r="Y29" s="372" t="s">
        <v>54</v>
      </c>
      <c r="Z29" s="521"/>
      <c r="AA29" s="383" t="s">
        <v>54</v>
      </c>
      <c r="AB29" s="494"/>
      <c r="AC29" s="2" t="s">
        <v>54</v>
      </c>
      <c r="AD29" s="498"/>
      <c r="AE29" s="405" t="s">
        <v>54</v>
      </c>
      <c r="AF29" s="372" t="s">
        <v>54</v>
      </c>
      <c r="AG29" s="372" t="s">
        <v>54</v>
      </c>
      <c r="AH29" s="372" t="s">
        <v>54</v>
      </c>
      <c r="AI29" s="372" t="s">
        <v>54</v>
      </c>
      <c r="AJ29" s="530"/>
      <c r="AK29" s="533"/>
      <c r="AL29" s="533"/>
      <c r="AM29" s="533"/>
      <c r="AN29" s="533"/>
      <c r="AO29" s="533"/>
      <c r="AP29" s="2" t="s">
        <v>54</v>
      </c>
      <c r="AQ29" s="547"/>
      <c r="AR29" s="2" t="s">
        <v>54</v>
      </c>
      <c r="AS29" s="366" t="s">
        <v>54</v>
      </c>
      <c r="AT29" s="366" t="s">
        <v>54</v>
      </c>
      <c r="AU29" s="2" t="s">
        <v>54</v>
      </c>
      <c r="AV29" s="2" t="s">
        <v>54</v>
      </c>
      <c r="AW29" s="2" t="s">
        <v>54</v>
      </c>
      <c r="AX29" s="2" t="s">
        <v>54</v>
      </c>
      <c r="AY29" s="380" t="s">
        <v>54</v>
      </c>
      <c r="AZ29" s="378" t="s">
        <v>54</v>
      </c>
      <c r="BA29" s="537"/>
      <c r="BB29" s="378" t="s">
        <v>54</v>
      </c>
      <c r="BC29" s="547"/>
      <c r="BD29" s="378" t="s">
        <v>54</v>
      </c>
      <c r="BE29" s="378" t="s">
        <v>54</v>
      </c>
      <c r="BF29" s="378" t="s">
        <v>54</v>
      </c>
      <c r="BG29" s="2" t="s">
        <v>54</v>
      </c>
      <c r="BH29" s="2" t="s">
        <v>54</v>
      </c>
      <c r="BI29" s="2" t="s">
        <v>54</v>
      </c>
      <c r="BJ29" s="2" t="s">
        <v>54</v>
      </c>
      <c r="BK29" s="371" t="s">
        <v>54</v>
      </c>
      <c r="BL29" s="2" t="s">
        <v>54</v>
      </c>
      <c r="BM29" s="2" t="s">
        <v>54</v>
      </c>
      <c r="BN29" s="2" t="s">
        <v>54</v>
      </c>
      <c r="BO29" s="2" t="s">
        <v>54</v>
      </c>
      <c r="BP29" s="2" t="s">
        <v>54</v>
      </c>
      <c r="BQ29" s="2" t="s">
        <v>54</v>
      </c>
      <c r="BR29" s="2" t="s">
        <v>54</v>
      </c>
      <c r="BS29" s="2" t="s">
        <v>54</v>
      </c>
      <c r="BT29" s="2" t="s">
        <v>54</v>
      </c>
      <c r="BU29" s="370" t="s">
        <v>54</v>
      </c>
      <c r="BV29" s="2" t="s">
        <v>54</v>
      </c>
      <c r="BW29" s="383" t="s">
        <v>54</v>
      </c>
      <c r="BX29" s="381" t="s">
        <v>54</v>
      </c>
      <c r="BY29" s="383" t="s">
        <v>54</v>
      </c>
      <c r="BZ29" s="381" t="s">
        <v>54</v>
      </c>
      <c r="CA29" s="383" t="s">
        <v>54</v>
      </c>
      <c r="CB29" s="2" t="s">
        <v>54</v>
      </c>
      <c r="CC29" s="2" t="s">
        <v>54</v>
      </c>
      <c r="CD29" s="2" t="s">
        <v>54</v>
      </c>
      <c r="CE29" s="370" t="s">
        <v>54</v>
      </c>
      <c r="CF29" s="2" t="s">
        <v>54</v>
      </c>
      <c r="CG29" s="383" t="s">
        <v>54</v>
      </c>
      <c r="CH29" s="383" t="s">
        <v>54</v>
      </c>
      <c r="CI29" s="383" t="s">
        <v>54</v>
      </c>
      <c r="CJ29" s="2" t="s">
        <v>54</v>
      </c>
      <c r="CK29" s="2" t="s">
        <v>54</v>
      </c>
      <c r="CL29" s="2" t="s">
        <v>54</v>
      </c>
      <c r="CM29" s="535"/>
      <c r="CN29" s="535"/>
      <c r="CO29" s="498"/>
      <c r="CP29" s="498"/>
      <c r="CQ29" s="498"/>
      <c r="CR29" s="498"/>
      <c r="CS29" s="498"/>
      <c r="CT29" s="498"/>
      <c r="CU29" s="498"/>
      <c r="CV29" s="498"/>
      <c r="CW29" s="498"/>
      <c r="CX29" s="498"/>
      <c r="CY29" s="498"/>
      <c r="CZ29" s="498"/>
      <c r="DA29" s="498"/>
      <c r="DB29" s="498"/>
      <c r="DC29" s="498"/>
      <c r="DD29" s="498"/>
      <c r="DE29" s="498"/>
      <c r="DF29" s="498"/>
      <c r="DG29" s="498"/>
      <c r="DH29" s="498"/>
      <c r="DI29" s="498"/>
      <c r="DJ29" s="498"/>
      <c r="DK29" s="498"/>
      <c r="DL29" s="498"/>
      <c r="DM29" s="381" t="s">
        <v>54</v>
      </c>
      <c r="DN29" s="488"/>
      <c r="DO29" s="381" t="s">
        <v>54</v>
      </c>
      <c r="DP29" s="385" t="s">
        <v>54</v>
      </c>
      <c r="DQ29" s="385" t="s">
        <v>54</v>
      </c>
      <c r="DR29" s="381" t="s">
        <v>54</v>
      </c>
      <c r="DS29" s="381" t="s">
        <v>54</v>
      </c>
      <c r="DT29" s="381" t="s">
        <v>54</v>
      </c>
      <c r="DU29" s="381" t="s">
        <v>54</v>
      </c>
      <c r="DV29" s="381" t="s">
        <v>54</v>
      </c>
      <c r="DW29" s="381" t="s">
        <v>54</v>
      </c>
      <c r="DX29" s="490"/>
      <c r="DY29" s="405" t="s">
        <v>54</v>
      </c>
      <c r="DZ29" s="490"/>
      <c r="EA29" s="405" t="s">
        <v>54</v>
      </c>
      <c r="EB29" s="405" t="s">
        <v>54</v>
      </c>
      <c r="EC29" s="405" t="s">
        <v>54</v>
      </c>
      <c r="ED29" s="381" t="s">
        <v>54</v>
      </c>
      <c r="EE29" s="381" t="s">
        <v>54</v>
      </c>
      <c r="EF29" s="381" t="s">
        <v>54</v>
      </c>
      <c r="EG29" s="381" t="s">
        <v>54</v>
      </c>
      <c r="EH29" s="381" t="s">
        <v>54</v>
      </c>
      <c r="EI29" s="381" t="s">
        <v>54</v>
      </c>
      <c r="EJ29" s="381" t="s">
        <v>54</v>
      </c>
      <c r="EK29" s="381" t="s">
        <v>54</v>
      </c>
      <c r="EL29" s="381" t="s">
        <v>54</v>
      </c>
      <c r="EM29" s="381" t="s">
        <v>54</v>
      </c>
      <c r="EN29" s="381" t="s">
        <v>54</v>
      </c>
      <c r="EO29" s="381" t="s">
        <v>54</v>
      </c>
      <c r="EP29" s="381" t="s">
        <v>54</v>
      </c>
      <c r="EQ29" s="381" t="s">
        <v>54</v>
      </c>
      <c r="ER29" s="381" t="s">
        <v>54</v>
      </c>
      <c r="ES29" s="381" t="s">
        <v>54</v>
      </c>
      <c r="ET29" s="381" t="s">
        <v>54</v>
      </c>
      <c r="EU29" s="381" t="s">
        <v>54</v>
      </c>
    </row>
    <row r="30" spans="1:151" s="1" customFormat="1" ht="19.899999999999999" customHeight="1">
      <c r="A30" s="491">
        <v>7</v>
      </c>
      <c r="B30" s="491">
        <v>11</v>
      </c>
      <c r="C30" s="486" t="s">
        <v>2797</v>
      </c>
      <c r="D30" s="495" t="s">
        <v>2709</v>
      </c>
      <c r="E30" s="548" t="s">
        <v>2671</v>
      </c>
      <c r="F30" s="538" t="s">
        <v>2689</v>
      </c>
      <c r="G30" s="512" t="s">
        <v>2908</v>
      </c>
      <c r="H30" s="495" t="s">
        <v>2703</v>
      </c>
      <c r="I30" s="538" t="s">
        <v>2756</v>
      </c>
      <c r="J30" s="495" t="s">
        <v>2690</v>
      </c>
      <c r="K30" s="516" t="s">
        <v>3109</v>
      </c>
      <c r="L30" s="495" t="s">
        <v>3133</v>
      </c>
      <c r="M30" s="491" t="s">
        <v>3102</v>
      </c>
      <c r="N30" s="486" t="s">
        <v>3133</v>
      </c>
      <c r="O30" s="512" t="s">
        <v>2883</v>
      </c>
      <c r="P30" s="517" t="s">
        <v>2922</v>
      </c>
      <c r="Q30" s="495">
        <v>2</v>
      </c>
      <c r="R30" s="2" t="s">
        <v>2730</v>
      </c>
      <c r="S30" s="382" t="s">
        <v>52</v>
      </c>
      <c r="T30" s="371" t="s">
        <v>2753</v>
      </c>
      <c r="U30" s="387" t="s">
        <v>52</v>
      </c>
      <c r="V30" s="387" t="s">
        <v>52</v>
      </c>
      <c r="W30" s="372">
        <v>53</v>
      </c>
      <c r="X30" s="489">
        <v>74</v>
      </c>
      <c r="Y30" s="387" t="s">
        <v>52</v>
      </c>
      <c r="Z30" s="520" t="s">
        <v>52</v>
      </c>
      <c r="AA30" s="383">
        <v>53</v>
      </c>
      <c r="AB30" s="491">
        <v>74</v>
      </c>
      <c r="AC30" s="387" t="s">
        <v>52</v>
      </c>
      <c r="AD30" s="495" t="s">
        <v>52</v>
      </c>
      <c r="AE30" s="404" t="s">
        <v>52</v>
      </c>
      <c r="AF30" s="387" t="s">
        <v>52</v>
      </c>
      <c r="AG30" s="387" t="s">
        <v>52</v>
      </c>
      <c r="AH30" s="387" t="s">
        <v>52</v>
      </c>
      <c r="AI30" s="387" t="s">
        <v>52</v>
      </c>
      <c r="AJ30" s="528" t="s">
        <v>2714</v>
      </c>
      <c r="AK30" s="533" t="s">
        <v>3321</v>
      </c>
      <c r="AL30" s="533">
        <v>926</v>
      </c>
      <c r="AM30" s="533">
        <v>512</v>
      </c>
      <c r="AN30" s="533">
        <v>169</v>
      </c>
      <c r="AO30" s="533" t="s">
        <v>2750</v>
      </c>
      <c r="AP30" s="2" t="s">
        <v>52</v>
      </c>
      <c r="AQ30" s="543" t="s">
        <v>52</v>
      </c>
      <c r="AR30" s="2" t="s">
        <v>52</v>
      </c>
      <c r="AS30" s="2" t="s">
        <v>52</v>
      </c>
      <c r="AT30" s="2" t="s">
        <v>52</v>
      </c>
      <c r="AU30" s="2" t="s">
        <v>52</v>
      </c>
      <c r="AV30" s="2" t="s">
        <v>52</v>
      </c>
      <c r="AW30" s="2" t="s">
        <v>52</v>
      </c>
      <c r="AX30" s="2" t="s">
        <v>52</v>
      </c>
      <c r="AY30" s="2" t="s">
        <v>52</v>
      </c>
      <c r="AZ30" s="2" t="s">
        <v>52</v>
      </c>
      <c r="BA30" s="536" t="s">
        <v>2808</v>
      </c>
      <c r="BB30" s="378" t="s">
        <v>52</v>
      </c>
      <c r="BC30" s="543" t="s">
        <v>52</v>
      </c>
      <c r="BD30" s="378" t="s">
        <v>52</v>
      </c>
      <c r="BE30" s="388" t="s">
        <v>52</v>
      </c>
      <c r="BF30" s="388" t="s">
        <v>52</v>
      </c>
      <c r="BG30" s="388" t="s">
        <v>52</v>
      </c>
      <c r="BH30" s="388" t="s">
        <v>52</v>
      </c>
      <c r="BI30" s="388" t="s">
        <v>52</v>
      </c>
      <c r="BJ30" s="388" t="s">
        <v>52</v>
      </c>
      <c r="BK30" s="406" t="s">
        <v>52</v>
      </c>
      <c r="BL30" s="2" t="s">
        <v>52</v>
      </c>
      <c r="BM30" s="2" t="s">
        <v>52</v>
      </c>
      <c r="BN30" s="2" t="s">
        <v>52</v>
      </c>
      <c r="BO30" s="2" t="s">
        <v>52</v>
      </c>
      <c r="BP30" s="2" t="s">
        <v>52</v>
      </c>
      <c r="BQ30" s="2" t="s">
        <v>52</v>
      </c>
      <c r="BR30" s="2" t="s">
        <v>52</v>
      </c>
      <c r="BS30" s="2" t="s">
        <v>52</v>
      </c>
      <c r="BT30" s="388" t="s">
        <v>52</v>
      </c>
      <c r="BU30" s="370" t="s">
        <v>52</v>
      </c>
      <c r="BV30" s="370" t="s">
        <v>52</v>
      </c>
      <c r="BW30" s="383" t="s">
        <v>52</v>
      </c>
      <c r="BX30" s="383" t="s">
        <v>52</v>
      </c>
      <c r="BY30" s="383" t="s">
        <v>52</v>
      </c>
      <c r="BZ30" s="383" t="s">
        <v>52</v>
      </c>
      <c r="CA30" s="383" t="s">
        <v>52</v>
      </c>
      <c r="CB30" s="370" t="s">
        <v>52</v>
      </c>
      <c r="CC30" s="2" t="s">
        <v>52</v>
      </c>
      <c r="CD30" s="2" t="s">
        <v>52</v>
      </c>
      <c r="CE30" s="370" t="s">
        <v>52</v>
      </c>
      <c r="CF30" s="2" t="s">
        <v>52</v>
      </c>
      <c r="CG30" s="383" t="s">
        <v>52</v>
      </c>
      <c r="CH30" s="383" t="s">
        <v>52</v>
      </c>
      <c r="CI30" s="383" t="s">
        <v>52</v>
      </c>
      <c r="CJ30" s="2" t="s">
        <v>52</v>
      </c>
      <c r="CK30" s="2" t="s">
        <v>52</v>
      </c>
      <c r="CL30" s="2" t="s">
        <v>52</v>
      </c>
      <c r="CM30" s="528" t="s">
        <v>54</v>
      </c>
      <c r="CN30" s="528" t="s">
        <v>54</v>
      </c>
      <c r="CO30" s="495" t="s">
        <v>54</v>
      </c>
      <c r="CP30" s="495" t="s">
        <v>54</v>
      </c>
      <c r="CQ30" s="495" t="s">
        <v>54</v>
      </c>
      <c r="CR30" s="495" t="s">
        <v>54</v>
      </c>
      <c r="CS30" s="495" t="s">
        <v>54</v>
      </c>
      <c r="CT30" s="495" t="s">
        <v>54</v>
      </c>
      <c r="CU30" s="495" t="s">
        <v>54</v>
      </c>
      <c r="CV30" s="495" t="s">
        <v>54</v>
      </c>
      <c r="CW30" s="495" t="s">
        <v>54</v>
      </c>
      <c r="CX30" s="495" t="s">
        <v>54</v>
      </c>
      <c r="CY30" s="495" t="s">
        <v>54</v>
      </c>
      <c r="CZ30" s="495" t="s">
        <v>54</v>
      </c>
      <c r="DA30" s="495" t="s">
        <v>54</v>
      </c>
      <c r="DB30" s="495" t="s">
        <v>54</v>
      </c>
      <c r="DC30" s="495" t="s">
        <v>54</v>
      </c>
      <c r="DD30" s="495" t="s">
        <v>54</v>
      </c>
      <c r="DE30" s="495" t="s">
        <v>54</v>
      </c>
      <c r="DF30" s="495" t="s">
        <v>54</v>
      </c>
      <c r="DG30" s="495" t="s">
        <v>54</v>
      </c>
      <c r="DH30" s="495" t="s">
        <v>54</v>
      </c>
      <c r="DI30" s="495" t="s">
        <v>54</v>
      </c>
      <c r="DJ30" s="495" t="s">
        <v>54</v>
      </c>
      <c r="DK30" s="495" t="s">
        <v>54</v>
      </c>
      <c r="DL30" s="495" t="s">
        <v>54</v>
      </c>
      <c r="DM30" s="381" t="s">
        <v>54</v>
      </c>
      <c r="DN30" s="486" t="s">
        <v>54</v>
      </c>
      <c r="DO30" s="381" t="s">
        <v>54</v>
      </c>
      <c r="DP30" s="385" t="s">
        <v>54</v>
      </c>
      <c r="DQ30" s="385" t="s">
        <v>54</v>
      </c>
      <c r="DR30" s="381" t="s">
        <v>54</v>
      </c>
      <c r="DS30" s="381" t="s">
        <v>54</v>
      </c>
      <c r="DT30" s="381" t="s">
        <v>54</v>
      </c>
      <c r="DU30" s="381" t="s">
        <v>54</v>
      </c>
      <c r="DV30" s="381" t="s">
        <v>54</v>
      </c>
      <c r="DW30" s="381" t="s">
        <v>54</v>
      </c>
      <c r="DX30" s="489" t="s">
        <v>54</v>
      </c>
      <c r="DY30" s="405" t="s">
        <v>54</v>
      </c>
      <c r="DZ30" s="489" t="s">
        <v>54</v>
      </c>
      <c r="EA30" s="405" t="s">
        <v>54</v>
      </c>
      <c r="EB30" s="405" t="s">
        <v>54</v>
      </c>
      <c r="EC30" s="405" t="s">
        <v>54</v>
      </c>
      <c r="ED30" s="381" t="s">
        <v>54</v>
      </c>
      <c r="EE30" s="381" t="s">
        <v>54</v>
      </c>
      <c r="EF30" s="381" t="s">
        <v>54</v>
      </c>
      <c r="EG30" s="381" t="s">
        <v>54</v>
      </c>
      <c r="EH30" s="381" t="s">
        <v>54</v>
      </c>
      <c r="EI30" s="381" t="s">
        <v>54</v>
      </c>
      <c r="EJ30" s="381" t="s">
        <v>54</v>
      </c>
      <c r="EK30" s="381" t="s">
        <v>54</v>
      </c>
      <c r="EL30" s="381" t="s">
        <v>54</v>
      </c>
      <c r="EM30" s="381" t="s">
        <v>54</v>
      </c>
      <c r="EN30" s="381" t="s">
        <v>54</v>
      </c>
      <c r="EO30" s="381" t="s">
        <v>54</v>
      </c>
      <c r="EP30" s="381" t="s">
        <v>54</v>
      </c>
      <c r="EQ30" s="381" t="s">
        <v>54</v>
      </c>
      <c r="ER30" s="381" t="s">
        <v>54</v>
      </c>
      <c r="ES30" s="381" t="s">
        <v>54</v>
      </c>
      <c r="ET30" s="381" t="s">
        <v>54</v>
      </c>
      <c r="EU30" s="381" t="s">
        <v>54</v>
      </c>
    </row>
    <row r="31" spans="1:151" s="1" customFormat="1" ht="19.899999999999999" customHeight="1">
      <c r="A31" s="492"/>
      <c r="B31" s="492"/>
      <c r="C31" s="487"/>
      <c r="D31" s="506"/>
      <c r="E31" s="506"/>
      <c r="F31" s="539"/>
      <c r="G31" s="513"/>
      <c r="H31" s="506"/>
      <c r="I31" s="539"/>
      <c r="J31" s="506"/>
      <c r="K31" s="492"/>
      <c r="L31" s="496"/>
      <c r="M31" s="492"/>
      <c r="N31" s="487"/>
      <c r="O31" s="513"/>
      <c r="P31" s="531"/>
      <c r="Q31" s="496"/>
      <c r="R31" s="3" t="s">
        <v>2729</v>
      </c>
      <c r="S31" s="382" t="s">
        <v>52</v>
      </c>
      <c r="T31" s="371" t="s">
        <v>2753</v>
      </c>
      <c r="U31" s="387" t="s">
        <v>52</v>
      </c>
      <c r="V31" s="387" t="s">
        <v>52</v>
      </c>
      <c r="W31" s="372">
        <v>21</v>
      </c>
      <c r="X31" s="490"/>
      <c r="Y31" s="387" t="s">
        <v>52</v>
      </c>
      <c r="Z31" s="521"/>
      <c r="AA31" s="383">
        <v>21</v>
      </c>
      <c r="AB31" s="492"/>
      <c r="AC31" s="387" t="s">
        <v>52</v>
      </c>
      <c r="AD31" s="496"/>
      <c r="AE31" s="404" t="s">
        <v>52</v>
      </c>
      <c r="AF31" s="387" t="s">
        <v>52</v>
      </c>
      <c r="AG31" s="387" t="s">
        <v>52</v>
      </c>
      <c r="AH31" s="387" t="s">
        <v>52</v>
      </c>
      <c r="AI31" s="387" t="s">
        <v>52</v>
      </c>
      <c r="AJ31" s="529"/>
      <c r="AK31" s="533"/>
      <c r="AL31" s="533"/>
      <c r="AM31" s="533"/>
      <c r="AN31" s="533"/>
      <c r="AO31" s="533"/>
      <c r="AP31" s="2" t="s">
        <v>52</v>
      </c>
      <c r="AQ31" s="546"/>
      <c r="AR31" s="2" t="s">
        <v>52</v>
      </c>
      <c r="AS31" s="2" t="s">
        <v>52</v>
      </c>
      <c r="AT31" s="2" t="s">
        <v>52</v>
      </c>
      <c r="AU31" s="2" t="s">
        <v>52</v>
      </c>
      <c r="AV31" s="2" t="s">
        <v>52</v>
      </c>
      <c r="AW31" s="2" t="s">
        <v>52</v>
      </c>
      <c r="AX31" s="2" t="s">
        <v>52</v>
      </c>
      <c r="AY31" s="2" t="s">
        <v>52</v>
      </c>
      <c r="AZ31" s="2" t="s">
        <v>52</v>
      </c>
      <c r="BA31" s="537"/>
      <c r="BB31" s="378" t="s">
        <v>52</v>
      </c>
      <c r="BC31" s="546"/>
      <c r="BD31" s="388" t="s">
        <v>52</v>
      </c>
      <c r="BE31" s="388" t="s">
        <v>52</v>
      </c>
      <c r="BF31" s="388" t="s">
        <v>52</v>
      </c>
      <c r="BG31" s="388" t="s">
        <v>52</v>
      </c>
      <c r="BH31" s="388" t="s">
        <v>52</v>
      </c>
      <c r="BI31" s="388" t="s">
        <v>52</v>
      </c>
      <c r="BJ31" s="388" t="s">
        <v>52</v>
      </c>
      <c r="BK31" s="406" t="s">
        <v>52</v>
      </c>
      <c r="BL31" s="2" t="s">
        <v>52</v>
      </c>
      <c r="BM31" s="2" t="s">
        <v>52</v>
      </c>
      <c r="BN31" s="2" t="s">
        <v>52</v>
      </c>
      <c r="BO31" s="2" t="s">
        <v>52</v>
      </c>
      <c r="BP31" s="2" t="s">
        <v>52</v>
      </c>
      <c r="BQ31" s="2" t="s">
        <v>52</v>
      </c>
      <c r="BR31" s="2" t="s">
        <v>52</v>
      </c>
      <c r="BS31" s="2" t="s">
        <v>52</v>
      </c>
      <c r="BT31" s="388" t="s">
        <v>52</v>
      </c>
      <c r="BU31" s="370" t="s">
        <v>52</v>
      </c>
      <c r="BV31" s="370" t="s">
        <v>52</v>
      </c>
      <c r="BW31" s="383" t="s">
        <v>52</v>
      </c>
      <c r="BX31" s="383" t="s">
        <v>52</v>
      </c>
      <c r="BY31" s="383" t="s">
        <v>52</v>
      </c>
      <c r="BZ31" s="383" t="s">
        <v>52</v>
      </c>
      <c r="CA31" s="383" t="s">
        <v>52</v>
      </c>
      <c r="CB31" s="370" t="s">
        <v>52</v>
      </c>
      <c r="CC31" s="2" t="s">
        <v>52</v>
      </c>
      <c r="CD31" s="2" t="s">
        <v>52</v>
      </c>
      <c r="CE31" s="2" t="s">
        <v>52</v>
      </c>
      <c r="CF31" s="2" t="s">
        <v>52</v>
      </c>
      <c r="CG31" s="383" t="s">
        <v>52</v>
      </c>
      <c r="CH31" s="383" t="s">
        <v>52</v>
      </c>
      <c r="CI31" s="383" t="s">
        <v>52</v>
      </c>
      <c r="CJ31" s="2" t="s">
        <v>52</v>
      </c>
      <c r="CK31" s="2" t="s">
        <v>52</v>
      </c>
      <c r="CL31" s="2" t="s">
        <v>52</v>
      </c>
      <c r="CM31" s="534"/>
      <c r="CN31" s="534"/>
      <c r="CO31" s="496"/>
      <c r="CP31" s="496"/>
      <c r="CQ31" s="496"/>
      <c r="CR31" s="496"/>
      <c r="CS31" s="496"/>
      <c r="CT31" s="496"/>
      <c r="CU31" s="496"/>
      <c r="CV31" s="496"/>
      <c r="CW31" s="496"/>
      <c r="CX31" s="496"/>
      <c r="CY31" s="496"/>
      <c r="CZ31" s="496"/>
      <c r="DA31" s="496"/>
      <c r="DB31" s="496"/>
      <c r="DC31" s="496"/>
      <c r="DD31" s="496"/>
      <c r="DE31" s="496"/>
      <c r="DF31" s="496"/>
      <c r="DG31" s="496"/>
      <c r="DH31" s="496"/>
      <c r="DI31" s="496"/>
      <c r="DJ31" s="496"/>
      <c r="DK31" s="496"/>
      <c r="DL31" s="496"/>
      <c r="DM31" s="381" t="s">
        <v>54</v>
      </c>
      <c r="DN31" s="487"/>
      <c r="DO31" s="381" t="s">
        <v>54</v>
      </c>
      <c r="DP31" s="385" t="s">
        <v>54</v>
      </c>
      <c r="DQ31" s="385" t="s">
        <v>54</v>
      </c>
      <c r="DR31" s="381" t="s">
        <v>54</v>
      </c>
      <c r="DS31" s="381" t="s">
        <v>54</v>
      </c>
      <c r="DT31" s="381" t="s">
        <v>54</v>
      </c>
      <c r="DU31" s="381" t="s">
        <v>54</v>
      </c>
      <c r="DV31" s="381" t="s">
        <v>54</v>
      </c>
      <c r="DW31" s="381" t="s">
        <v>54</v>
      </c>
      <c r="DX31" s="490"/>
      <c r="DY31" s="405" t="s">
        <v>54</v>
      </c>
      <c r="DZ31" s="490"/>
      <c r="EA31" s="405" t="s">
        <v>54</v>
      </c>
      <c r="EB31" s="405" t="s">
        <v>54</v>
      </c>
      <c r="EC31" s="405" t="s">
        <v>54</v>
      </c>
      <c r="ED31" s="381" t="s">
        <v>54</v>
      </c>
      <c r="EE31" s="381" t="s">
        <v>54</v>
      </c>
      <c r="EF31" s="381" t="s">
        <v>54</v>
      </c>
      <c r="EG31" s="381" t="s">
        <v>54</v>
      </c>
      <c r="EH31" s="381" t="s">
        <v>54</v>
      </c>
      <c r="EI31" s="381" t="s">
        <v>54</v>
      </c>
      <c r="EJ31" s="381" t="s">
        <v>54</v>
      </c>
      <c r="EK31" s="381" t="s">
        <v>54</v>
      </c>
      <c r="EL31" s="381" t="s">
        <v>54</v>
      </c>
      <c r="EM31" s="381" t="s">
        <v>54</v>
      </c>
      <c r="EN31" s="381" t="s">
        <v>54</v>
      </c>
      <c r="EO31" s="381" t="s">
        <v>54</v>
      </c>
      <c r="EP31" s="381" t="s">
        <v>54</v>
      </c>
      <c r="EQ31" s="381" t="s">
        <v>54</v>
      </c>
      <c r="ER31" s="381" t="s">
        <v>54</v>
      </c>
      <c r="ES31" s="381" t="s">
        <v>54</v>
      </c>
      <c r="ET31" s="381" t="s">
        <v>54</v>
      </c>
      <c r="EU31" s="381" t="s">
        <v>54</v>
      </c>
    </row>
    <row r="32" spans="1:151" s="1" customFormat="1" ht="19.899999999999999" customHeight="1">
      <c r="A32" s="493"/>
      <c r="B32" s="493"/>
      <c r="C32" s="487"/>
      <c r="D32" s="507"/>
      <c r="E32" s="507"/>
      <c r="F32" s="540"/>
      <c r="G32" s="514"/>
      <c r="H32" s="507"/>
      <c r="I32" s="540"/>
      <c r="J32" s="507"/>
      <c r="K32" s="493"/>
      <c r="L32" s="497"/>
      <c r="M32" s="493"/>
      <c r="N32" s="487"/>
      <c r="O32" s="514"/>
      <c r="P32" s="531"/>
      <c r="Q32" s="497"/>
      <c r="R32" s="2" t="s">
        <v>54</v>
      </c>
      <c r="S32" s="382" t="s">
        <v>54</v>
      </c>
      <c r="T32" s="371" t="s">
        <v>54</v>
      </c>
      <c r="U32" s="373" t="s">
        <v>54</v>
      </c>
      <c r="V32" s="2" t="s">
        <v>54</v>
      </c>
      <c r="W32" s="372" t="s">
        <v>54</v>
      </c>
      <c r="X32" s="490"/>
      <c r="Y32" s="372" t="s">
        <v>54</v>
      </c>
      <c r="Z32" s="521"/>
      <c r="AA32" s="383" t="s">
        <v>54</v>
      </c>
      <c r="AB32" s="493"/>
      <c r="AC32" s="2" t="s">
        <v>54</v>
      </c>
      <c r="AD32" s="497"/>
      <c r="AE32" s="405" t="s">
        <v>54</v>
      </c>
      <c r="AF32" s="372" t="s">
        <v>54</v>
      </c>
      <c r="AG32" s="372" t="s">
        <v>54</v>
      </c>
      <c r="AH32" s="372" t="s">
        <v>54</v>
      </c>
      <c r="AI32" s="372" t="s">
        <v>54</v>
      </c>
      <c r="AJ32" s="529"/>
      <c r="AK32" s="533"/>
      <c r="AL32" s="533"/>
      <c r="AM32" s="533"/>
      <c r="AN32" s="533"/>
      <c r="AO32" s="533"/>
      <c r="AP32" s="2" t="s">
        <v>54</v>
      </c>
      <c r="AQ32" s="546"/>
      <c r="AR32" s="2" t="s">
        <v>54</v>
      </c>
      <c r="AS32" s="366" t="s">
        <v>54</v>
      </c>
      <c r="AT32" s="366" t="s">
        <v>54</v>
      </c>
      <c r="AU32" s="2" t="s">
        <v>54</v>
      </c>
      <c r="AV32" s="2" t="s">
        <v>54</v>
      </c>
      <c r="AW32" s="2" t="s">
        <v>54</v>
      </c>
      <c r="AX32" s="2" t="s">
        <v>54</v>
      </c>
      <c r="AY32" s="380" t="s">
        <v>54</v>
      </c>
      <c r="AZ32" s="378" t="s">
        <v>54</v>
      </c>
      <c r="BA32" s="537"/>
      <c r="BB32" s="378" t="s">
        <v>54</v>
      </c>
      <c r="BC32" s="546"/>
      <c r="BD32" s="378" t="s">
        <v>54</v>
      </c>
      <c r="BE32" s="378" t="s">
        <v>54</v>
      </c>
      <c r="BF32" s="378" t="s">
        <v>54</v>
      </c>
      <c r="BG32" s="2" t="s">
        <v>54</v>
      </c>
      <c r="BH32" s="2" t="s">
        <v>54</v>
      </c>
      <c r="BI32" s="2" t="s">
        <v>54</v>
      </c>
      <c r="BJ32" s="2" t="s">
        <v>54</v>
      </c>
      <c r="BK32" s="371" t="s">
        <v>54</v>
      </c>
      <c r="BL32" s="2" t="s">
        <v>54</v>
      </c>
      <c r="BM32" s="2" t="s">
        <v>54</v>
      </c>
      <c r="BN32" s="2" t="s">
        <v>54</v>
      </c>
      <c r="BO32" s="2" t="s">
        <v>54</v>
      </c>
      <c r="BP32" s="2" t="s">
        <v>54</v>
      </c>
      <c r="BQ32" s="2" t="s">
        <v>54</v>
      </c>
      <c r="BR32" s="2" t="s">
        <v>54</v>
      </c>
      <c r="BS32" s="2" t="s">
        <v>54</v>
      </c>
      <c r="BT32" s="2" t="s">
        <v>54</v>
      </c>
      <c r="BU32" s="370" t="s">
        <v>54</v>
      </c>
      <c r="BV32" s="2" t="s">
        <v>54</v>
      </c>
      <c r="BW32" s="383" t="s">
        <v>54</v>
      </c>
      <c r="BX32" s="381" t="s">
        <v>54</v>
      </c>
      <c r="BY32" s="383" t="s">
        <v>54</v>
      </c>
      <c r="BZ32" s="381" t="s">
        <v>54</v>
      </c>
      <c r="CA32" s="383" t="s">
        <v>54</v>
      </c>
      <c r="CB32" s="2" t="s">
        <v>54</v>
      </c>
      <c r="CC32" s="2" t="s">
        <v>54</v>
      </c>
      <c r="CD32" s="2" t="s">
        <v>54</v>
      </c>
      <c r="CE32" s="370" t="s">
        <v>54</v>
      </c>
      <c r="CF32" s="2" t="s">
        <v>54</v>
      </c>
      <c r="CG32" s="383" t="s">
        <v>54</v>
      </c>
      <c r="CH32" s="383" t="s">
        <v>54</v>
      </c>
      <c r="CI32" s="383" t="s">
        <v>54</v>
      </c>
      <c r="CJ32" s="2" t="s">
        <v>54</v>
      </c>
      <c r="CK32" s="2" t="s">
        <v>54</v>
      </c>
      <c r="CL32" s="2" t="s">
        <v>54</v>
      </c>
      <c r="CM32" s="534"/>
      <c r="CN32" s="534"/>
      <c r="CO32" s="497"/>
      <c r="CP32" s="497"/>
      <c r="CQ32" s="497"/>
      <c r="CR32" s="497"/>
      <c r="CS32" s="497"/>
      <c r="CT32" s="497"/>
      <c r="CU32" s="497"/>
      <c r="CV32" s="497"/>
      <c r="CW32" s="497"/>
      <c r="CX32" s="497"/>
      <c r="CY32" s="497"/>
      <c r="CZ32" s="497"/>
      <c r="DA32" s="497"/>
      <c r="DB32" s="497"/>
      <c r="DC32" s="497"/>
      <c r="DD32" s="497"/>
      <c r="DE32" s="497"/>
      <c r="DF32" s="497"/>
      <c r="DG32" s="497"/>
      <c r="DH32" s="497"/>
      <c r="DI32" s="497"/>
      <c r="DJ32" s="497"/>
      <c r="DK32" s="497"/>
      <c r="DL32" s="497"/>
      <c r="DM32" s="381" t="s">
        <v>54</v>
      </c>
      <c r="DN32" s="487"/>
      <c r="DO32" s="381" t="s">
        <v>54</v>
      </c>
      <c r="DP32" s="385" t="s">
        <v>54</v>
      </c>
      <c r="DQ32" s="385" t="s">
        <v>54</v>
      </c>
      <c r="DR32" s="381" t="s">
        <v>54</v>
      </c>
      <c r="DS32" s="381" t="s">
        <v>54</v>
      </c>
      <c r="DT32" s="381" t="s">
        <v>54</v>
      </c>
      <c r="DU32" s="381" t="s">
        <v>54</v>
      </c>
      <c r="DV32" s="381" t="s">
        <v>54</v>
      </c>
      <c r="DW32" s="381" t="s">
        <v>54</v>
      </c>
      <c r="DX32" s="490"/>
      <c r="DY32" s="405" t="s">
        <v>54</v>
      </c>
      <c r="DZ32" s="490"/>
      <c r="EA32" s="405" t="s">
        <v>54</v>
      </c>
      <c r="EB32" s="405" t="s">
        <v>54</v>
      </c>
      <c r="EC32" s="405" t="s">
        <v>54</v>
      </c>
      <c r="ED32" s="381" t="s">
        <v>54</v>
      </c>
      <c r="EE32" s="381" t="s">
        <v>54</v>
      </c>
      <c r="EF32" s="381" t="s">
        <v>54</v>
      </c>
      <c r="EG32" s="381" t="s">
        <v>54</v>
      </c>
      <c r="EH32" s="381" t="s">
        <v>54</v>
      </c>
      <c r="EI32" s="381" t="s">
        <v>54</v>
      </c>
      <c r="EJ32" s="381" t="s">
        <v>54</v>
      </c>
      <c r="EK32" s="381" t="s">
        <v>54</v>
      </c>
      <c r="EL32" s="381" t="s">
        <v>54</v>
      </c>
      <c r="EM32" s="381" t="s">
        <v>54</v>
      </c>
      <c r="EN32" s="381" t="s">
        <v>54</v>
      </c>
      <c r="EO32" s="381" t="s">
        <v>54</v>
      </c>
      <c r="EP32" s="381" t="s">
        <v>54</v>
      </c>
      <c r="EQ32" s="381" t="s">
        <v>54</v>
      </c>
      <c r="ER32" s="381" t="s">
        <v>54</v>
      </c>
      <c r="ES32" s="381" t="s">
        <v>54</v>
      </c>
      <c r="ET32" s="381" t="s">
        <v>54</v>
      </c>
      <c r="EU32" s="381" t="s">
        <v>54</v>
      </c>
    </row>
    <row r="33" spans="1:151" s="1" customFormat="1" ht="19.899999999999999" customHeight="1">
      <c r="A33" s="494"/>
      <c r="B33" s="494"/>
      <c r="C33" s="488"/>
      <c r="D33" s="508"/>
      <c r="E33" s="508"/>
      <c r="F33" s="541"/>
      <c r="G33" s="515"/>
      <c r="H33" s="508"/>
      <c r="I33" s="541"/>
      <c r="J33" s="508"/>
      <c r="K33" s="494"/>
      <c r="L33" s="498"/>
      <c r="M33" s="494"/>
      <c r="N33" s="488"/>
      <c r="O33" s="515"/>
      <c r="P33" s="532"/>
      <c r="Q33" s="498"/>
      <c r="R33" s="2" t="s">
        <v>54</v>
      </c>
      <c r="S33" s="382" t="s">
        <v>52</v>
      </c>
      <c r="T33" s="371" t="s">
        <v>54</v>
      </c>
      <c r="U33" s="373" t="s">
        <v>54</v>
      </c>
      <c r="V33" s="2" t="s">
        <v>54</v>
      </c>
      <c r="W33" s="372" t="s">
        <v>54</v>
      </c>
      <c r="X33" s="490"/>
      <c r="Y33" s="372" t="s">
        <v>54</v>
      </c>
      <c r="Z33" s="521"/>
      <c r="AA33" s="383" t="s">
        <v>54</v>
      </c>
      <c r="AB33" s="494"/>
      <c r="AC33" s="2" t="s">
        <v>54</v>
      </c>
      <c r="AD33" s="498"/>
      <c r="AE33" s="405" t="s">
        <v>54</v>
      </c>
      <c r="AF33" s="372" t="s">
        <v>54</v>
      </c>
      <c r="AG33" s="372" t="s">
        <v>54</v>
      </c>
      <c r="AH33" s="372" t="s">
        <v>54</v>
      </c>
      <c r="AI33" s="372" t="s">
        <v>54</v>
      </c>
      <c r="AJ33" s="530"/>
      <c r="AK33" s="533"/>
      <c r="AL33" s="533"/>
      <c r="AM33" s="533"/>
      <c r="AN33" s="533"/>
      <c r="AO33" s="533"/>
      <c r="AP33" s="2" t="s">
        <v>54</v>
      </c>
      <c r="AQ33" s="547"/>
      <c r="AR33" s="2" t="s">
        <v>54</v>
      </c>
      <c r="AS33" s="366" t="s">
        <v>54</v>
      </c>
      <c r="AT33" s="366" t="s">
        <v>54</v>
      </c>
      <c r="AU33" s="2" t="s">
        <v>54</v>
      </c>
      <c r="AV33" s="2" t="s">
        <v>54</v>
      </c>
      <c r="AW33" s="2" t="s">
        <v>54</v>
      </c>
      <c r="AX33" s="2" t="s">
        <v>54</v>
      </c>
      <c r="AY33" s="380" t="s">
        <v>54</v>
      </c>
      <c r="AZ33" s="378" t="s">
        <v>54</v>
      </c>
      <c r="BA33" s="537"/>
      <c r="BB33" s="378" t="s">
        <v>54</v>
      </c>
      <c r="BC33" s="547"/>
      <c r="BD33" s="378" t="s">
        <v>54</v>
      </c>
      <c r="BE33" s="378" t="s">
        <v>54</v>
      </c>
      <c r="BF33" s="378" t="s">
        <v>54</v>
      </c>
      <c r="BG33" s="2" t="s">
        <v>54</v>
      </c>
      <c r="BH33" s="2" t="s">
        <v>54</v>
      </c>
      <c r="BI33" s="2" t="s">
        <v>54</v>
      </c>
      <c r="BJ33" s="2" t="s">
        <v>54</v>
      </c>
      <c r="BK33" s="371" t="s">
        <v>54</v>
      </c>
      <c r="BL33" s="2" t="s">
        <v>54</v>
      </c>
      <c r="BM33" s="2" t="s">
        <v>54</v>
      </c>
      <c r="BN33" s="2" t="s">
        <v>54</v>
      </c>
      <c r="BO33" s="2" t="s">
        <v>54</v>
      </c>
      <c r="BP33" s="2" t="s">
        <v>54</v>
      </c>
      <c r="BQ33" s="2" t="s">
        <v>54</v>
      </c>
      <c r="BR33" s="2" t="s">
        <v>54</v>
      </c>
      <c r="BS33" s="2" t="s">
        <v>54</v>
      </c>
      <c r="BT33" s="2" t="s">
        <v>54</v>
      </c>
      <c r="BU33" s="370" t="s">
        <v>54</v>
      </c>
      <c r="BV33" s="2" t="s">
        <v>54</v>
      </c>
      <c r="BW33" s="383" t="s">
        <v>54</v>
      </c>
      <c r="BX33" s="381" t="s">
        <v>54</v>
      </c>
      <c r="BY33" s="383" t="s">
        <v>54</v>
      </c>
      <c r="BZ33" s="381" t="s">
        <v>54</v>
      </c>
      <c r="CA33" s="383" t="s">
        <v>54</v>
      </c>
      <c r="CB33" s="2" t="s">
        <v>54</v>
      </c>
      <c r="CC33" s="2" t="s">
        <v>54</v>
      </c>
      <c r="CD33" s="2" t="s">
        <v>54</v>
      </c>
      <c r="CE33" s="370" t="s">
        <v>54</v>
      </c>
      <c r="CF33" s="2" t="s">
        <v>54</v>
      </c>
      <c r="CG33" s="383" t="s">
        <v>54</v>
      </c>
      <c r="CH33" s="383" t="s">
        <v>54</v>
      </c>
      <c r="CI33" s="383" t="s">
        <v>54</v>
      </c>
      <c r="CJ33" s="2" t="s">
        <v>54</v>
      </c>
      <c r="CK33" s="2" t="s">
        <v>54</v>
      </c>
      <c r="CL33" s="2" t="s">
        <v>54</v>
      </c>
      <c r="CM33" s="535"/>
      <c r="CN33" s="535"/>
      <c r="CO33" s="498"/>
      <c r="CP33" s="498"/>
      <c r="CQ33" s="498"/>
      <c r="CR33" s="498"/>
      <c r="CS33" s="498"/>
      <c r="CT33" s="498"/>
      <c r="CU33" s="498"/>
      <c r="CV33" s="498"/>
      <c r="CW33" s="498"/>
      <c r="CX33" s="498"/>
      <c r="CY33" s="498"/>
      <c r="CZ33" s="498"/>
      <c r="DA33" s="498"/>
      <c r="DB33" s="498"/>
      <c r="DC33" s="498"/>
      <c r="DD33" s="498"/>
      <c r="DE33" s="498"/>
      <c r="DF33" s="498"/>
      <c r="DG33" s="498"/>
      <c r="DH33" s="498"/>
      <c r="DI33" s="498"/>
      <c r="DJ33" s="498"/>
      <c r="DK33" s="498"/>
      <c r="DL33" s="498"/>
      <c r="DM33" s="381" t="s">
        <v>54</v>
      </c>
      <c r="DN33" s="488"/>
      <c r="DO33" s="381" t="s">
        <v>54</v>
      </c>
      <c r="DP33" s="385" t="s">
        <v>54</v>
      </c>
      <c r="DQ33" s="385" t="s">
        <v>54</v>
      </c>
      <c r="DR33" s="381" t="s">
        <v>54</v>
      </c>
      <c r="DS33" s="381" t="s">
        <v>54</v>
      </c>
      <c r="DT33" s="381" t="s">
        <v>54</v>
      </c>
      <c r="DU33" s="381" t="s">
        <v>54</v>
      </c>
      <c r="DV33" s="381" t="s">
        <v>54</v>
      </c>
      <c r="DW33" s="381" t="s">
        <v>54</v>
      </c>
      <c r="DX33" s="490"/>
      <c r="DY33" s="405" t="s">
        <v>54</v>
      </c>
      <c r="DZ33" s="490"/>
      <c r="EA33" s="405" t="s">
        <v>54</v>
      </c>
      <c r="EB33" s="405" t="s">
        <v>54</v>
      </c>
      <c r="EC33" s="405" t="s">
        <v>54</v>
      </c>
      <c r="ED33" s="381" t="s">
        <v>54</v>
      </c>
      <c r="EE33" s="381" t="s">
        <v>54</v>
      </c>
      <c r="EF33" s="381" t="s">
        <v>54</v>
      </c>
      <c r="EG33" s="381" t="s">
        <v>54</v>
      </c>
      <c r="EH33" s="381" t="s">
        <v>54</v>
      </c>
      <c r="EI33" s="381" t="s">
        <v>54</v>
      </c>
      <c r="EJ33" s="381" t="s">
        <v>54</v>
      </c>
      <c r="EK33" s="381" t="s">
        <v>54</v>
      </c>
      <c r="EL33" s="381" t="s">
        <v>54</v>
      </c>
      <c r="EM33" s="381" t="s">
        <v>54</v>
      </c>
      <c r="EN33" s="381" t="s">
        <v>54</v>
      </c>
      <c r="EO33" s="381" t="s">
        <v>54</v>
      </c>
      <c r="EP33" s="381" t="s">
        <v>54</v>
      </c>
      <c r="EQ33" s="381" t="s">
        <v>54</v>
      </c>
      <c r="ER33" s="381" t="s">
        <v>54</v>
      </c>
      <c r="ES33" s="381" t="s">
        <v>54</v>
      </c>
      <c r="ET33" s="381" t="s">
        <v>54</v>
      </c>
      <c r="EU33" s="381" t="s">
        <v>54</v>
      </c>
    </row>
    <row r="34" spans="1:151" s="1" customFormat="1" ht="19.899999999999999" customHeight="1">
      <c r="A34" s="491">
        <v>8</v>
      </c>
      <c r="B34" s="491">
        <v>12</v>
      </c>
      <c r="C34" s="486" t="s">
        <v>2797</v>
      </c>
      <c r="D34" s="495" t="s">
        <v>2693</v>
      </c>
      <c r="E34" s="548" t="s">
        <v>2671</v>
      </c>
      <c r="F34" s="538" t="s">
        <v>2674</v>
      </c>
      <c r="G34" s="512" t="s">
        <v>2909</v>
      </c>
      <c r="H34" s="495" t="s">
        <v>2695</v>
      </c>
      <c r="I34" s="538" t="s">
        <v>2675</v>
      </c>
      <c r="J34" s="495" t="s">
        <v>2676</v>
      </c>
      <c r="K34" s="516" t="s">
        <v>3110</v>
      </c>
      <c r="L34" s="495" t="s">
        <v>3133</v>
      </c>
      <c r="M34" s="491" t="s">
        <v>2885</v>
      </c>
      <c r="N34" s="486" t="s">
        <v>3133</v>
      </c>
      <c r="O34" s="512" t="s">
        <v>2884</v>
      </c>
      <c r="P34" s="517" t="s">
        <v>2922</v>
      </c>
      <c r="Q34" s="495">
        <v>2</v>
      </c>
      <c r="R34" s="2" t="s">
        <v>2715</v>
      </c>
      <c r="S34" s="382" t="s">
        <v>52</v>
      </c>
      <c r="T34" s="371" t="s">
        <v>2757</v>
      </c>
      <c r="U34" s="376">
        <f>20.1/(52/12)</f>
        <v>4.6384615384615389</v>
      </c>
      <c r="V34" s="387" t="s">
        <v>52</v>
      </c>
      <c r="W34" s="372">
        <v>682</v>
      </c>
      <c r="X34" s="489">
        <v>1028</v>
      </c>
      <c r="Y34" s="372">
        <v>69.5</v>
      </c>
      <c r="Z34" s="520">
        <v>69.331712062256813</v>
      </c>
      <c r="AA34" s="383">
        <v>682</v>
      </c>
      <c r="AB34" s="491">
        <v>1028</v>
      </c>
      <c r="AC34" s="2">
        <v>605</v>
      </c>
      <c r="AD34" s="495">
        <f>AC34+AC35</f>
        <v>908</v>
      </c>
      <c r="AE34" s="404" t="s">
        <v>52</v>
      </c>
      <c r="AF34" s="372" t="s">
        <v>3152</v>
      </c>
      <c r="AG34" s="387" t="s">
        <v>52</v>
      </c>
      <c r="AH34" s="387" t="s">
        <v>52</v>
      </c>
      <c r="AI34" s="373">
        <v>6.68</v>
      </c>
      <c r="AJ34" s="528" t="s">
        <v>2714</v>
      </c>
      <c r="AK34" s="533" t="s">
        <v>2761</v>
      </c>
      <c r="AL34" s="533">
        <v>1311</v>
      </c>
      <c r="AM34" s="533">
        <v>1028</v>
      </c>
      <c r="AN34" s="533">
        <v>73</v>
      </c>
      <c r="AO34" s="533" t="s">
        <v>2741</v>
      </c>
      <c r="AP34" s="3">
        <v>682</v>
      </c>
      <c r="AQ34" s="543">
        <f t="shared" ref="AQ34" si="6">AP34+AP35</f>
        <v>1028</v>
      </c>
      <c r="AR34" s="2">
        <v>11</v>
      </c>
      <c r="AS34" s="366">
        <v>10.1</v>
      </c>
      <c r="AT34" s="366">
        <v>11.6</v>
      </c>
      <c r="AU34" s="2">
        <v>0.9</v>
      </c>
      <c r="AV34" s="2">
        <v>0.76</v>
      </c>
      <c r="AW34" s="2">
        <v>1.06</v>
      </c>
      <c r="AX34" s="2">
        <v>0.21299999999999999</v>
      </c>
      <c r="AY34" s="2" t="s">
        <v>52</v>
      </c>
      <c r="AZ34" s="2" t="s">
        <v>52</v>
      </c>
      <c r="BA34" s="536" t="s">
        <v>2808</v>
      </c>
      <c r="BB34" s="377">
        <v>682</v>
      </c>
      <c r="BC34" s="543">
        <v>1028</v>
      </c>
      <c r="BD34" s="377">
        <v>5.6</v>
      </c>
      <c r="BE34" s="377">
        <v>5.5</v>
      </c>
      <c r="BF34" s="377">
        <v>5.6</v>
      </c>
      <c r="BG34" s="3">
        <v>0.48</v>
      </c>
      <c r="BH34" s="3">
        <v>0.4</v>
      </c>
      <c r="BI34" s="3">
        <v>0.56999999999999995</v>
      </c>
      <c r="BJ34" s="3" t="s">
        <v>2809</v>
      </c>
      <c r="BK34" s="406" t="s">
        <v>52</v>
      </c>
      <c r="BL34" s="2">
        <v>682</v>
      </c>
      <c r="BM34" s="2">
        <v>4.2</v>
      </c>
      <c r="BN34" s="2" t="s">
        <v>52</v>
      </c>
      <c r="BO34" s="2" t="s">
        <v>52</v>
      </c>
      <c r="BP34" s="2">
        <v>0.95</v>
      </c>
      <c r="BQ34" s="2" t="s">
        <v>52</v>
      </c>
      <c r="BR34" s="2" t="s">
        <v>52</v>
      </c>
      <c r="BS34" s="2">
        <v>0.63900000000000001</v>
      </c>
      <c r="BT34" s="2" t="s">
        <v>52</v>
      </c>
      <c r="BU34" s="370" t="s">
        <v>52</v>
      </c>
      <c r="BV34" s="2" t="s">
        <v>52</v>
      </c>
      <c r="BW34" s="383" t="s">
        <v>52</v>
      </c>
      <c r="BX34" s="381" t="s">
        <v>52</v>
      </c>
      <c r="BY34" s="383" t="s">
        <v>52</v>
      </c>
      <c r="BZ34" s="381" t="s">
        <v>52</v>
      </c>
      <c r="CA34" s="383" t="s">
        <v>52</v>
      </c>
      <c r="CB34" s="2" t="s">
        <v>52</v>
      </c>
      <c r="CC34" s="2" t="s">
        <v>52</v>
      </c>
      <c r="CD34" s="2">
        <v>41</v>
      </c>
      <c r="CE34" s="370">
        <v>681</v>
      </c>
      <c r="CF34" s="3">
        <v>481</v>
      </c>
      <c r="CG34" s="383" t="s">
        <v>52</v>
      </c>
      <c r="CH34" s="383">
        <v>422</v>
      </c>
      <c r="CI34" s="384">
        <v>680</v>
      </c>
      <c r="CJ34" s="2" t="s">
        <v>52</v>
      </c>
      <c r="CK34" s="2">
        <v>50</v>
      </c>
      <c r="CL34" s="3" t="s">
        <v>2836</v>
      </c>
      <c r="CM34" s="528" t="s">
        <v>54</v>
      </c>
      <c r="CN34" s="528" t="s">
        <v>54</v>
      </c>
      <c r="CO34" s="495" t="s">
        <v>54</v>
      </c>
      <c r="CP34" s="495" t="s">
        <v>54</v>
      </c>
      <c r="CQ34" s="495" t="s">
        <v>54</v>
      </c>
      <c r="CR34" s="495" t="s">
        <v>54</v>
      </c>
      <c r="CS34" s="495" t="s">
        <v>54</v>
      </c>
      <c r="CT34" s="495" t="s">
        <v>54</v>
      </c>
      <c r="CU34" s="495" t="s">
        <v>54</v>
      </c>
      <c r="CV34" s="495" t="s">
        <v>54</v>
      </c>
      <c r="CW34" s="495" t="s">
        <v>54</v>
      </c>
      <c r="CX34" s="495" t="s">
        <v>54</v>
      </c>
      <c r="CY34" s="495" t="s">
        <v>54</v>
      </c>
      <c r="CZ34" s="495" t="s">
        <v>54</v>
      </c>
      <c r="DA34" s="495" t="s">
        <v>54</v>
      </c>
      <c r="DB34" s="495" t="s">
        <v>54</v>
      </c>
      <c r="DC34" s="495" t="s">
        <v>54</v>
      </c>
      <c r="DD34" s="495" t="s">
        <v>54</v>
      </c>
      <c r="DE34" s="495" t="s">
        <v>54</v>
      </c>
      <c r="DF34" s="495" t="s">
        <v>54</v>
      </c>
      <c r="DG34" s="495" t="s">
        <v>54</v>
      </c>
      <c r="DH34" s="495" t="s">
        <v>54</v>
      </c>
      <c r="DI34" s="495" t="s">
        <v>54</v>
      </c>
      <c r="DJ34" s="495" t="s">
        <v>54</v>
      </c>
      <c r="DK34" s="495" t="s">
        <v>54</v>
      </c>
      <c r="DL34" s="495" t="s">
        <v>54</v>
      </c>
      <c r="DM34" s="381" t="s">
        <v>54</v>
      </c>
      <c r="DN34" s="486" t="s">
        <v>54</v>
      </c>
      <c r="DO34" s="381" t="s">
        <v>54</v>
      </c>
      <c r="DP34" s="385" t="s">
        <v>54</v>
      </c>
      <c r="DQ34" s="385" t="s">
        <v>54</v>
      </c>
      <c r="DR34" s="381" t="s">
        <v>54</v>
      </c>
      <c r="DS34" s="381" t="s">
        <v>54</v>
      </c>
      <c r="DT34" s="381" t="s">
        <v>54</v>
      </c>
      <c r="DU34" s="381" t="s">
        <v>54</v>
      </c>
      <c r="DV34" s="381" t="s">
        <v>54</v>
      </c>
      <c r="DW34" s="381" t="s">
        <v>54</v>
      </c>
      <c r="DX34" s="489" t="s">
        <v>54</v>
      </c>
      <c r="DY34" s="405" t="s">
        <v>54</v>
      </c>
      <c r="DZ34" s="489" t="s">
        <v>54</v>
      </c>
      <c r="EA34" s="405" t="s">
        <v>54</v>
      </c>
      <c r="EB34" s="405" t="s">
        <v>54</v>
      </c>
      <c r="EC34" s="405" t="s">
        <v>54</v>
      </c>
      <c r="ED34" s="381" t="s">
        <v>54</v>
      </c>
      <c r="EE34" s="381" t="s">
        <v>54</v>
      </c>
      <c r="EF34" s="381" t="s">
        <v>54</v>
      </c>
      <c r="EG34" s="381" t="s">
        <v>54</v>
      </c>
      <c r="EH34" s="381" t="s">
        <v>54</v>
      </c>
      <c r="EI34" s="381" t="s">
        <v>54</v>
      </c>
      <c r="EJ34" s="381" t="s">
        <v>54</v>
      </c>
      <c r="EK34" s="381" t="s">
        <v>54</v>
      </c>
      <c r="EL34" s="381" t="s">
        <v>54</v>
      </c>
      <c r="EM34" s="381" t="s">
        <v>54</v>
      </c>
      <c r="EN34" s="381" t="s">
        <v>54</v>
      </c>
      <c r="EO34" s="381" t="s">
        <v>54</v>
      </c>
      <c r="EP34" s="381" t="s">
        <v>54</v>
      </c>
      <c r="EQ34" s="381" t="s">
        <v>54</v>
      </c>
      <c r="ER34" s="381" t="s">
        <v>54</v>
      </c>
      <c r="ES34" s="381" t="s">
        <v>54</v>
      </c>
      <c r="ET34" s="381" t="s">
        <v>54</v>
      </c>
      <c r="EU34" s="381" t="s">
        <v>54</v>
      </c>
    </row>
    <row r="35" spans="1:151" s="1" customFormat="1" ht="19.899999999999999" customHeight="1">
      <c r="A35" s="492"/>
      <c r="B35" s="492"/>
      <c r="C35" s="487"/>
      <c r="D35" s="506"/>
      <c r="E35" s="506"/>
      <c r="F35" s="539"/>
      <c r="G35" s="513"/>
      <c r="H35" s="506"/>
      <c r="I35" s="539"/>
      <c r="J35" s="506"/>
      <c r="K35" s="492"/>
      <c r="L35" s="496"/>
      <c r="M35" s="492"/>
      <c r="N35" s="487"/>
      <c r="O35" s="513"/>
      <c r="P35" s="531"/>
      <c r="Q35" s="496"/>
      <c r="R35" s="3" t="s">
        <v>2719</v>
      </c>
      <c r="S35" s="382" t="s">
        <v>52</v>
      </c>
      <c r="T35" s="371" t="s">
        <v>2757</v>
      </c>
      <c r="U35" s="376">
        <f>12.3/(52/12)</f>
        <v>2.838461538461539</v>
      </c>
      <c r="V35" s="387" t="s">
        <v>52</v>
      </c>
      <c r="W35" s="372">
        <v>346</v>
      </c>
      <c r="X35" s="490"/>
      <c r="Y35" s="372">
        <v>69</v>
      </c>
      <c r="Z35" s="521"/>
      <c r="AA35" s="383">
        <v>346</v>
      </c>
      <c r="AB35" s="492"/>
      <c r="AC35" s="2">
        <v>303</v>
      </c>
      <c r="AD35" s="496"/>
      <c r="AE35" s="404" t="s">
        <v>52</v>
      </c>
      <c r="AF35" s="372" t="s">
        <v>3153</v>
      </c>
      <c r="AG35" s="387" t="s">
        <v>52</v>
      </c>
      <c r="AH35" s="387" t="s">
        <v>52</v>
      </c>
      <c r="AI35" s="373">
        <v>6.98</v>
      </c>
      <c r="AJ35" s="529"/>
      <c r="AK35" s="533"/>
      <c r="AL35" s="533"/>
      <c r="AM35" s="533"/>
      <c r="AN35" s="533"/>
      <c r="AO35" s="533"/>
      <c r="AP35" s="3">
        <v>346</v>
      </c>
      <c r="AQ35" s="546"/>
      <c r="AR35" s="2">
        <v>9.8000000000000007</v>
      </c>
      <c r="AS35" s="366">
        <v>9</v>
      </c>
      <c r="AT35" s="366">
        <v>11.5</v>
      </c>
      <c r="AU35" s="2" t="s">
        <v>52</v>
      </c>
      <c r="AV35" s="2" t="s">
        <v>52</v>
      </c>
      <c r="AW35" s="2" t="s">
        <v>52</v>
      </c>
      <c r="AX35" s="2" t="s">
        <v>52</v>
      </c>
      <c r="AY35" s="2" t="s">
        <v>52</v>
      </c>
      <c r="AZ35" s="2" t="s">
        <v>52</v>
      </c>
      <c r="BA35" s="537"/>
      <c r="BB35" s="377">
        <v>346</v>
      </c>
      <c r="BC35" s="546"/>
      <c r="BD35" s="377">
        <v>2.8</v>
      </c>
      <c r="BE35" s="377">
        <v>2.8</v>
      </c>
      <c r="BF35" s="377">
        <v>2.9</v>
      </c>
      <c r="BG35" s="2" t="s">
        <v>52</v>
      </c>
      <c r="BH35" s="2" t="s">
        <v>52</v>
      </c>
      <c r="BI35" s="2" t="s">
        <v>52</v>
      </c>
      <c r="BJ35" s="2" t="s">
        <v>52</v>
      </c>
      <c r="BK35" s="406" t="s">
        <v>52</v>
      </c>
      <c r="BL35" s="2">
        <v>346</v>
      </c>
      <c r="BM35" s="2">
        <v>3</v>
      </c>
      <c r="BN35" s="2" t="s">
        <v>52</v>
      </c>
      <c r="BO35" s="2" t="s">
        <v>52</v>
      </c>
      <c r="BP35" s="2" t="s">
        <v>52</v>
      </c>
      <c r="BQ35" s="2" t="s">
        <v>52</v>
      </c>
      <c r="BR35" s="2" t="s">
        <v>52</v>
      </c>
      <c r="BS35" s="2" t="s">
        <v>52</v>
      </c>
      <c r="BT35" s="2" t="s">
        <v>52</v>
      </c>
      <c r="BU35" s="370" t="s">
        <v>52</v>
      </c>
      <c r="BV35" s="2" t="s">
        <v>52</v>
      </c>
      <c r="BW35" s="383" t="s">
        <v>52</v>
      </c>
      <c r="BX35" s="381" t="s">
        <v>52</v>
      </c>
      <c r="BY35" s="383" t="s">
        <v>52</v>
      </c>
      <c r="BZ35" s="381" t="s">
        <v>52</v>
      </c>
      <c r="CA35" s="383" t="s">
        <v>52</v>
      </c>
      <c r="CB35" s="2" t="s">
        <v>52</v>
      </c>
      <c r="CC35" s="2" t="s">
        <v>52</v>
      </c>
      <c r="CD35" s="2">
        <v>7</v>
      </c>
      <c r="CE35" s="370">
        <v>342</v>
      </c>
      <c r="CF35" s="3">
        <v>191</v>
      </c>
      <c r="CG35" s="383" t="s">
        <v>52</v>
      </c>
      <c r="CH35" s="383">
        <v>181</v>
      </c>
      <c r="CI35" s="384">
        <v>333</v>
      </c>
      <c r="CJ35" s="2" t="s">
        <v>52</v>
      </c>
      <c r="CK35" s="2">
        <v>26</v>
      </c>
      <c r="CL35" s="3" t="s">
        <v>2837</v>
      </c>
      <c r="CM35" s="534"/>
      <c r="CN35" s="534"/>
      <c r="CO35" s="496"/>
      <c r="CP35" s="496"/>
      <c r="CQ35" s="496"/>
      <c r="CR35" s="496"/>
      <c r="CS35" s="496"/>
      <c r="CT35" s="496"/>
      <c r="CU35" s="496"/>
      <c r="CV35" s="496"/>
      <c r="CW35" s="496"/>
      <c r="CX35" s="496"/>
      <c r="CY35" s="496"/>
      <c r="CZ35" s="496"/>
      <c r="DA35" s="496"/>
      <c r="DB35" s="496"/>
      <c r="DC35" s="496"/>
      <c r="DD35" s="496"/>
      <c r="DE35" s="496"/>
      <c r="DF35" s="496"/>
      <c r="DG35" s="496"/>
      <c r="DH35" s="496"/>
      <c r="DI35" s="496"/>
      <c r="DJ35" s="496"/>
      <c r="DK35" s="496"/>
      <c r="DL35" s="496"/>
      <c r="DM35" s="381" t="s">
        <v>54</v>
      </c>
      <c r="DN35" s="487"/>
      <c r="DO35" s="381" t="s">
        <v>54</v>
      </c>
      <c r="DP35" s="385" t="s">
        <v>54</v>
      </c>
      <c r="DQ35" s="385" t="s">
        <v>54</v>
      </c>
      <c r="DR35" s="381" t="s">
        <v>54</v>
      </c>
      <c r="DS35" s="381" t="s">
        <v>54</v>
      </c>
      <c r="DT35" s="381" t="s">
        <v>54</v>
      </c>
      <c r="DU35" s="381" t="s">
        <v>54</v>
      </c>
      <c r="DV35" s="381" t="s">
        <v>54</v>
      </c>
      <c r="DW35" s="381" t="s">
        <v>54</v>
      </c>
      <c r="DX35" s="490"/>
      <c r="DY35" s="405" t="s">
        <v>54</v>
      </c>
      <c r="DZ35" s="490"/>
      <c r="EA35" s="405" t="s">
        <v>54</v>
      </c>
      <c r="EB35" s="405" t="s">
        <v>54</v>
      </c>
      <c r="EC35" s="405" t="s">
        <v>54</v>
      </c>
      <c r="ED35" s="381" t="s">
        <v>54</v>
      </c>
      <c r="EE35" s="381" t="s">
        <v>54</v>
      </c>
      <c r="EF35" s="381" t="s">
        <v>54</v>
      </c>
      <c r="EG35" s="381" t="s">
        <v>54</v>
      </c>
      <c r="EH35" s="381" t="s">
        <v>54</v>
      </c>
      <c r="EI35" s="381" t="s">
        <v>54</v>
      </c>
      <c r="EJ35" s="381" t="s">
        <v>54</v>
      </c>
      <c r="EK35" s="381" t="s">
        <v>54</v>
      </c>
      <c r="EL35" s="381" t="s">
        <v>54</v>
      </c>
      <c r="EM35" s="381" t="s">
        <v>54</v>
      </c>
      <c r="EN35" s="381" t="s">
        <v>54</v>
      </c>
      <c r="EO35" s="381" t="s">
        <v>54</v>
      </c>
      <c r="EP35" s="381" t="s">
        <v>54</v>
      </c>
      <c r="EQ35" s="381" t="s">
        <v>54</v>
      </c>
      <c r="ER35" s="381" t="s">
        <v>54</v>
      </c>
      <c r="ES35" s="381" t="s">
        <v>54</v>
      </c>
      <c r="ET35" s="381" t="s">
        <v>54</v>
      </c>
      <c r="EU35" s="381" t="s">
        <v>54</v>
      </c>
    </row>
    <row r="36" spans="1:151" s="1" customFormat="1" ht="19.149999999999999" customHeight="1">
      <c r="A36" s="493"/>
      <c r="B36" s="493"/>
      <c r="C36" s="487"/>
      <c r="D36" s="507"/>
      <c r="E36" s="507"/>
      <c r="F36" s="540"/>
      <c r="G36" s="514"/>
      <c r="H36" s="507"/>
      <c r="I36" s="540"/>
      <c r="J36" s="507"/>
      <c r="K36" s="493"/>
      <c r="L36" s="497"/>
      <c r="M36" s="493"/>
      <c r="N36" s="487"/>
      <c r="O36" s="514"/>
      <c r="P36" s="531"/>
      <c r="Q36" s="497"/>
      <c r="R36" s="2" t="s">
        <v>54</v>
      </c>
      <c r="S36" s="382" t="s">
        <v>54</v>
      </c>
      <c r="T36" s="371" t="s">
        <v>54</v>
      </c>
      <c r="U36" s="373" t="s">
        <v>54</v>
      </c>
      <c r="V36" s="2" t="s">
        <v>54</v>
      </c>
      <c r="W36" s="372" t="s">
        <v>54</v>
      </c>
      <c r="X36" s="490"/>
      <c r="Y36" s="372" t="s">
        <v>54</v>
      </c>
      <c r="Z36" s="521"/>
      <c r="AA36" s="383" t="s">
        <v>54</v>
      </c>
      <c r="AB36" s="493"/>
      <c r="AC36" s="2" t="s">
        <v>54</v>
      </c>
      <c r="AD36" s="497"/>
      <c r="AE36" s="405" t="s">
        <v>54</v>
      </c>
      <c r="AF36" s="372" t="s">
        <v>54</v>
      </c>
      <c r="AG36" s="372" t="s">
        <v>54</v>
      </c>
      <c r="AH36" s="372" t="s">
        <v>54</v>
      </c>
      <c r="AI36" s="372" t="s">
        <v>54</v>
      </c>
      <c r="AJ36" s="529"/>
      <c r="AK36" s="533"/>
      <c r="AL36" s="533"/>
      <c r="AM36" s="533"/>
      <c r="AN36" s="533"/>
      <c r="AO36" s="533"/>
      <c r="AP36" s="2" t="s">
        <v>54</v>
      </c>
      <c r="AQ36" s="546"/>
      <c r="AR36" s="2" t="s">
        <v>54</v>
      </c>
      <c r="AS36" s="366" t="s">
        <v>54</v>
      </c>
      <c r="AT36" s="366" t="s">
        <v>54</v>
      </c>
      <c r="AU36" s="2" t="s">
        <v>54</v>
      </c>
      <c r="AV36" s="2" t="s">
        <v>54</v>
      </c>
      <c r="AW36" s="2" t="s">
        <v>54</v>
      </c>
      <c r="AX36" s="2" t="s">
        <v>54</v>
      </c>
      <c r="AY36" s="380" t="s">
        <v>54</v>
      </c>
      <c r="AZ36" s="378" t="s">
        <v>54</v>
      </c>
      <c r="BA36" s="537"/>
      <c r="BB36" s="378" t="s">
        <v>54</v>
      </c>
      <c r="BC36" s="546"/>
      <c r="BD36" s="378" t="s">
        <v>54</v>
      </c>
      <c r="BE36" s="378" t="s">
        <v>54</v>
      </c>
      <c r="BF36" s="378" t="s">
        <v>54</v>
      </c>
      <c r="BG36" s="2" t="s">
        <v>54</v>
      </c>
      <c r="BH36" s="2" t="s">
        <v>54</v>
      </c>
      <c r="BI36" s="2" t="s">
        <v>54</v>
      </c>
      <c r="BJ36" s="2" t="s">
        <v>54</v>
      </c>
      <c r="BK36" s="371" t="s">
        <v>54</v>
      </c>
      <c r="BL36" s="2" t="s">
        <v>54</v>
      </c>
      <c r="BM36" s="2" t="s">
        <v>54</v>
      </c>
      <c r="BN36" s="2" t="s">
        <v>54</v>
      </c>
      <c r="BO36" s="2" t="s">
        <v>54</v>
      </c>
      <c r="BP36" s="2" t="s">
        <v>54</v>
      </c>
      <c r="BQ36" s="2" t="s">
        <v>54</v>
      </c>
      <c r="BR36" s="2" t="s">
        <v>54</v>
      </c>
      <c r="BS36" s="2" t="s">
        <v>54</v>
      </c>
      <c r="BT36" s="2" t="s">
        <v>54</v>
      </c>
      <c r="BU36" s="370" t="s">
        <v>54</v>
      </c>
      <c r="BV36" s="2" t="s">
        <v>54</v>
      </c>
      <c r="BW36" s="383" t="s">
        <v>54</v>
      </c>
      <c r="BX36" s="381" t="s">
        <v>54</v>
      </c>
      <c r="BY36" s="383" t="s">
        <v>54</v>
      </c>
      <c r="BZ36" s="381" t="s">
        <v>54</v>
      </c>
      <c r="CA36" s="383" t="s">
        <v>54</v>
      </c>
      <c r="CB36" s="2" t="s">
        <v>54</v>
      </c>
      <c r="CC36" s="2" t="s">
        <v>54</v>
      </c>
      <c r="CD36" s="2" t="s">
        <v>54</v>
      </c>
      <c r="CE36" s="370" t="s">
        <v>54</v>
      </c>
      <c r="CF36" s="2" t="s">
        <v>54</v>
      </c>
      <c r="CG36" s="383" t="s">
        <v>54</v>
      </c>
      <c r="CH36" s="383" t="s">
        <v>54</v>
      </c>
      <c r="CI36" s="383" t="s">
        <v>54</v>
      </c>
      <c r="CJ36" s="2" t="s">
        <v>54</v>
      </c>
      <c r="CK36" s="2" t="s">
        <v>54</v>
      </c>
      <c r="CL36" s="2" t="s">
        <v>54</v>
      </c>
      <c r="CM36" s="534"/>
      <c r="CN36" s="534"/>
      <c r="CO36" s="497"/>
      <c r="CP36" s="497"/>
      <c r="CQ36" s="497"/>
      <c r="CR36" s="497"/>
      <c r="CS36" s="497"/>
      <c r="CT36" s="497"/>
      <c r="CU36" s="497"/>
      <c r="CV36" s="497"/>
      <c r="CW36" s="497"/>
      <c r="CX36" s="497"/>
      <c r="CY36" s="497"/>
      <c r="CZ36" s="497"/>
      <c r="DA36" s="497"/>
      <c r="DB36" s="497"/>
      <c r="DC36" s="497"/>
      <c r="DD36" s="497"/>
      <c r="DE36" s="497"/>
      <c r="DF36" s="497"/>
      <c r="DG36" s="497"/>
      <c r="DH36" s="497"/>
      <c r="DI36" s="497"/>
      <c r="DJ36" s="497"/>
      <c r="DK36" s="497"/>
      <c r="DL36" s="497"/>
      <c r="DM36" s="381" t="s">
        <v>54</v>
      </c>
      <c r="DN36" s="487"/>
      <c r="DO36" s="381" t="s">
        <v>54</v>
      </c>
      <c r="DP36" s="385" t="s">
        <v>54</v>
      </c>
      <c r="DQ36" s="385" t="s">
        <v>54</v>
      </c>
      <c r="DR36" s="381" t="s">
        <v>54</v>
      </c>
      <c r="DS36" s="381" t="s">
        <v>54</v>
      </c>
      <c r="DT36" s="381" t="s">
        <v>54</v>
      </c>
      <c r="DU36" s="381" t="s">
        <v>54</v>
      </c>
      <c r="DV36" s="381" t="s">
        <v>54</v>
      </c>
      <c r="DW36" s="381" t="s">
        <v>54</v>
      </c>
      <c r="DX36" s="490"/>
      <c r="DY36" s="405" t="s">
        <v>54</v>
      </c>
      <c r="DZ36" s="490"/>
      <c r="EA36" s="405" t="s">
        <v>54</v>
      </c>
      <c r="EB36" s="405" t="s">
        <v>54</v>
      </c>
      <c r="EC36" s="405" t="s">
        <v>54</v>
      </c>
      <c r="ED36" s="381" t="s">
        <v>54</v>
      </c>
      <c r="EE36" s="381" t="s">
        <v>54</v>
      </c>
      <c r="EF36" s="381" t="s">
        <v>54</v>
      </c>
      <c r="EG36" s="381" t="s">
        <v>54</v>
      </c>
      <c r="EH36" s="381" t="s">
        <v>54</v>
      </c>
      <c r="EI36" s="381" t="s">
        <v>54</v>
      </c>
      <c r="EJ36" s="381" t="s">
        <v>54</v>
      </c>
      <c r="EK36" s="381" t="s">
        <v>54</v>
      </c>
      <c r="EL36" s="381" t="s">
        <v>54</v>
      </c>
      <c r="EM36" s="381" t="s">
        <v>54</v>
      </c>
      <c r="EN36" s="381" t="s">
        <v>54</v>
      </c>
      <c r="EO36" s="381" t="s">
        <v>54</v>
      </c>
      <c r="EP36" s="381" t="s">
        <v>54</v>
      </c>
      <c r="EQ36" s="381" t="s">
        <v>54</v>
      </c>
      <c r="ER36" s="381" t="s">
        <v>54</v>
      </c>
      <c r="ES36" s="381" t="s">
        <v>54</v>
      </c>
      <c r="ET36" s="381" t="s">
        <v>54</v>
      </c>
      <c r="EU36" s="381" t="s">
        <v>54</v>
      </c>
    </row>
    <row r="37" spans="1:151" s="1" customFormat="1" ht="19.899999999999999" customHeight="1">
      <c r="A37" s="494"/>
      <c r="B37" s="494"/>
      <c r="C37" s="488"/>
      <c r="D37" s="508"/>
      <c r="E37" s="508"/>
      <c r="F37" s="541"/>
      <c r="G37" s="515"/>
      <c r="H37" s="508"/>
      <c r="I37" s="541"/>
      <c r="J37" s="508"/>
      <c r="K37" s="494"/>
      <c r="L37" s="498"/>
      <c r="M37" s="494"/>
      <c r="N37" s="488"/>
      <c r="O37" s="515"/>
      <c r="P37" s="532"/>
      <c r="Q37" s="498"/>
      <c r="R37" s="2" t="s">
        <v>54</v>
      </c>
      <c r="S37" s="382" t="s">
        <v>52</v>
      </c>
      <c r="T37" s="371" t="s">
        <v>54</v>
      </c>
      <c r="U37" s="373" t="s">
        <v>54</v>
      </c>
      <c r="V37" s="2" t="s">
        <v>54</v>
      </c>
      <c r="W37" s="372" t="s">
        <v>54</v>
      </c>
      <c r="X37" s="490"/>
      <c r="Y37" s="372" t="s">
        <v>54</v>
      </c>
      <c r="Z37" s="521"/>
      <c r="AA37" s="383" t="s">
        <v>54</v>
      </c>
      <c r="AB37" s="494"/>
      <c r="AC37" s="2" t="s">
        <v>54</v>
      </c>
      <c r="AD37" s="498"/>
      <c r="AE37" s="405" t="s">
        <v>54</v>
      </c>
      <c r="AF37" s="372" t="s">
        <v>54</v>
      </c>
      <c r="AG37" s="372" t="s">
        <v>54</v>
      </c>
      <c r="AH37" s="372" t="s">
        <v>54</v>
      </c>
      <c r="AI37" s="372" t="s">
        <v>54</v>
      </c>
      <c r="AJ37" s="530"/>
      <c r="AK37" s="533"/>
      <c r="AL37" s="533"/>
      <c r="AM37" s="533"/>
      <c r="AN37" s="533"/>
      <c r="AO37" s="533"/>
      <c r="AP37" s="2" t="s">
        <v>54</v>
      </c>
      <c r="AQ37" s="547"/>
      <c r="AR37" s="2" t="s">
        <v>54</v>
      </c>
      <c r="AS37" s="366" t="s">
        <v>54</v>
      </c>
      <c r="AT37" s="366" t="s">
        <v>54</v>
      </c>
      <c r="AU37" s="2" t="s">
        <v>54</v>
      </c>
      <c r="AV37" s="2" t="s">
        <v>54</v>
      </c>
      <c r="AW37" s="2" t="s">
        <v>54</v>
      </c>
      <c r="AX37" s="2" t="s">
        <v>54</v>
      </c>
      <c r="AY37" s="380" t="s">
        <v>54</v>
      </c>
      <c r="AZ37" s="378" t="s">
        <v>54</v>
      </c>
      <c r="BA37" s="537"/>
      <c r="BB37" s="378" t="s">
        <v>54</v>
      </c>
      <c r="BC37" s="547"/>
      <c r="BD37" s="378" t="s">
        <v>54</v>
      </c>
      <c r="BE37" s="378" t="s">
        <v>54</v>
      </c>
      <c r="BF37" s="378" t="s">
        <v>54</v>
      </c>
      <c r="BG37" s="2" t="s">
        <v>54</v>
      </c>
      <c r="BH37" s="2" t="s">
        <v>54</v>
      </c>
      <c r="BI37" s="2" t="s">
        <v>54</v>
      </c>
      <c r="BJ37" s="2" t="s">
        <v>54</v>
      </c>
      <c r="BK37" s="371" t="s">
        <v>54</v>
      </c>
      <c r="BL37" s="2" t="s">
        <v>54</v>
      </c>
      <c r="BM37" s="2" t="s">
        <v>54</v>
      </c>
      <c r="BN37" s="2" t="s">
        <v>54</v>
      </c>
      <c r="BO37" s="2" t="s">
        <v>54</v>
      </c>
      <c r="BP37" s="2" t="s">
        <v>54</v>
      </c>
      <c r="BQ37" s="2" t="s">
        <v>54</v>
      </c>
      <c r="BR37" s="2" t="s">
        <v>54</v>
      </c>
      <c r="BS37" s="2" t="s">
        <v>54</v>
      </c>
      <c r="BT37" s="2" t="s">
        <v>54</v>
      </c>
      <c r="BU37" s="370" t="s">
        <v>54</v>
      </c>
      <c r="BV37" s="2" t="s">
        <v>54</v>
      </c>
      <c r="BW37" s="383" t="s">
        <v>54</v>
      </c>
      <c r="BX37" s="381" t="s">
        <v>54</v>
      </c>
      <c r="BY37" s="383" t="s">
        <v>54</v>
      </c>
      <c r="BZ37" s="381" t="s">
        <v>54</v>
      </c>
      <c r="CA37" s="383" t="s">
        <v>54</v>
      </c>
      <c r="CB37" s="2" t="s">
        <v>54</v>
      </c>
      <c r="CC37" s="2" t="s">
        <v>54</v>
      </c>
      <c r="CD37" s="2" t="s">
        <v>54</v>
      </c>
      <c r="CE37" s="370" t="s">
        <v>54</v>
      </c>
      <c r="CF37" s="2" t="s">
        <v>54</v>
      </c>
      <c r="CG37" s="383" t="s">
        <v>54</v>
      </c>
      <c r="CH37" s="383" t="s">
        <v>54</v>
      </c>
      <c r="CI37" s="383" t="s">
        <v>54</v>
      </c>
      <c r="CJ37" s="2" t="s">
        <v>54</v>
      </c>
      <c r="CK37" s="2" t="s">
        <v>54</v>
      </c>
      <c r="CL37" s="2" t="s">
        <v>54</v>
      </c>
      <c r="CM37" s="535"/>
      <c r="CN37" s="535"/>
      <c r="CO37" s="498"/>
      <c r="CP37" s="498"/>
      <c r="CQ37" s="498"/>
      <c r="CR37" s="498"/>
      <c r="CS37" s="498"/>
      <c r="CT37" s="498"/>
      <c r="CU37" s="498"/>
      <c r="CV37" s="498"/>
      <c r="CW37" s="498"/>
      <c r="CX37" s="498"/>
      <c r="CY37" s="498"/>
      <c r="CZ37" s="498"/>
      <c r="DA37" s="498"/>
      <c r="DB37" s="498"/>
      <c r="DC37" s="498"/>
      <c r="DD37" s="498"/>
      <c r="DE37" s="498"/>
      <c r="DF37" s="498"/>
      <c r="DG37" s="498"/>
      <c r="DH37" s="498"/>
      <c r="DI37" s="498"/>
      <c r="DJ37" s="498"/>
      <c r="DK37" s="498"/>
      <c r="DL37" s="498"/>
      <c r="DM37" s="381" t="s">
        <v>54</v>
      </c>
      <c r="DN37" s="488"/>
      <c r="DO37" s="381" t="s">
        <v>54</v>
      </c>
      <c r="DP37" s="385" t="s">
        <v>54</v>
      </c>
      <c r="DQ37" s="385" t="s">
        <v>54</v>
      </c>
      <c r="DR37" s="381" t="s">
        <v>54</v>
      </c>
      <c r="DS37" s="381" t="s">
        <v>54</v>
      </c>
      <c r="DT37" s="381" t="s">
        <v>54</v>
      </c>
      <c r="DU37" s="381" t="s">
        <v>54</v>
      </c>
      <c r="DV37" s="381" t="s">
        <v>54</v>
      </c>
      <c r="DW37" s="381" t="s">
        <v>54</v>
      </c>
      <c r="DX37" s="490"/>
      <c r="DY37" s="405" t="s">
        <v>54</v>
      </c>
      <c r="DZ37" s="490"/>
      <c r="EA37" s="405" t="s">
        <v>54</v>
      </c>
      <c r="EB37" s="405" t="s">
        <v>54</v>
      </c>
      <c r="EC37" s="405" t="s">
        <v>54</v>
      </c>
      <c r="ED37" s="381" t="s">
        <v>54</v>
      </c>
      <c r="EE37" s="381" t="s">
        <v>54</v>
      </c>
      <c r="EF37" s="381" t="s">
        <v>54</v>
      </c>
      <c r="EG37" s="381" t="s">
        <v>54</v>
      </c>
      <c r="EH37" s="381" t="s">
        <v>54</v>
      </c>
      <c r="EI37" s="381" t="s">
        <v>54</v>
      </c>
      <c r="EJ37" s="381" t="s">
        <v>54</v>
      </c>
      <c r="EK37" s="381" t="s">
        <v>54</v>
      </c>
      <c r="EL37" s="381" t="s">
        <v>54</v>
      </c>
      <c r="EM37" s="381" t="s">
        <v>54</v>
      </c>
      <c r="EN37" s="381" t="s">
        <v>54</v>
      </c>
      <c r="EO37" s="381" t="s">
        <v>54</v>
      </c>
      <c r="EP37" s="381" t="s">
        <v>54</v>
      </c>
      <c r="EQ37" s="381" t="s">
        <v>54</v>
      </c>
      <c r="ER37" s="381" t="s">
        <v>54</v>
      </c>
      <c r="ES37" s="381" t="s">
        <v>54</v>
      </c>
      <c r="ET37" s="381" t="s">
        <v>54</v>
      </c>
      <c r="EU37" s="381" t="s">
        <v>54</v>
      </c>
    </row>
    <row r="38" spans="1:151" s="1" customFormat="1" ht="19.899999999999999" customHeight="1">
      <c r="A38" s="491">
        <v>9</v>
      </c>
      <c r="B38" s="491">
        <v>13</v>
      </c>
      <c r="C38" s="486" t="s">
        <v>2797</v>
      </c>
      <c r="D38" s="495" t="s">
        <v>2708</v>
      </c>
      <c r="E38" s="548" t="s">
        <v>2671</v>
      </c>
      <c r="F38" s="549" t="s">
        <v>2704</v>
      </c>
      <c r="G38" s="512" t="s">
        <v>2851</v>
      </c>
      <c r="H38" s="495" t="s">
        <v>2705</v>
      </c>
      <c r="I38" s="550" t="s">
        <v>2706</v>
      </c>
      <c r="J38" s="543" t="s">
        <v>2707</v>
      </c>
      <c r="K38" s="516" t="s">
        <v>3111</v>
      </c>
      <c r="L38" s="495" t="s">
        <v>3133</v>
      </c>
      <c r="M38" s="491" t="s">
        <v>2887</v>
      </c>
      <c r="N38" s="486" t="s">
        <v>3133</v>
      </c>
      <c r="O38" s="512" t="s">
        <v>2886</v>
      </c>
      <c r="P38" s="517" t="s">
        <v>2922</v>
      </c>
      <c r="Q38" s="495">
        <v>2</v>
      </c>
      <c r="R38" s="2" t="s">
        <v>2715</v>
      </c>
      <c r="S38" s="382" t="s">
        <v>52</v>
      </c>
      <c r="T38" s="371" t="s">
        <v>2759</v>
      </c>
      <c r="U38" s="387" t="s">
        <v>52</v>
      </c>
      <c r="V38" s="387" t="s">
        <v>52</v>
      </c>
      <c r="W38" s="372">
        <v>61</v>
      </c>
      <c r="X38" s="489">
        <v>119</v>
      </c>
      <c r="Y38" s="372">
        <v>65</v>
      </c>
      <c r="Z38" s="520">
        <v>65.487394957983199</v>
      </c>
      <c r="AA38" s="383">
        <v>61</v>
      </c>
      <c r="AB38" s="491">
        <v>119</v>
      </c>
      <c r="AC38" s="2">
        <v>53</v>
      </c>
      <c r="AD38" s="495" t="s">
        <v>52</v>
      </c>
      <c r="AE38" s="404" t="s">
        <v>52</v>
      </c>
      <c r="AF38" s="372" t="s">
        <v>3154</v>
      </c>
      <c r="AG38" s="387" t="s">
        <v>52</v>
      </c>
      <c r="AH38" s="373">
        <v>191.8</v>
      </c>
      <c r="AI38" s="373">
        <v>4.7</v>
      </c>
      <c r="AJ38" s="528" t="s">
        <v>2714</v>
      </c>
      <c r="AK38" s="533" t="s">
        <v>3322</v>
      </c>
      <c r="AL38" s="533">
        <v>216</v>
      </c>
      <c r="AM38" s="533">
        <v>119</v>
      </c>
      <c r="AN38" s="533">
        <v>11</v>
      </c>
      <c r="AO38" s="533" t="s">
        <v>2740</v>
      </c>
      <c r="AP38" s="3">
        <v>61</v>
      </c>
      <c r="AQ38" s="543">
        <f>AP38+AP39</f>
        <v>119</v>
      </c>
      <c r="AR38" s="2">
        <v>9</v>
      </c>
      <c r="AS38" s="366">
        <v>6.8</v>
      </c>
      <c r="AT38" s="366">
        <v>11.6</v>
      </c>
      <c r="AU38" s="2">
        <v>0.7</v>
      </c>
      <c r="AV38" s="2">
        <v>0.44</v>
      </c>
      <c r="AW38" s="2">
        <v>1.1000000000000001</v>
      </c>
      <c r="AX38" s="2">
        <v>0.1</v>
      </c>
      <c r="AY38" s="380" t="s">
        <v>52</v>
      </c>
      <c r="AZ38" s="378" t="s">
        <v>52</v>
      </c>
      <c r="BA38" s="536" t="s">
        <v>2808</v>
      </c>
      <c r="BB38" s="257">
        <v>61</v>
      </c>
      <c r="BC38" s="543">
        <v>119</v>
      </c>
      <c r="BD38" s="257">
        <v>2.9</v>
      </c>
      <c r="BE38" s="378" t="s">
        <v>52</v>
      </c>
      <c r="BF38" s="378" t="s">
        <v>52</v>
      </c>
      <c r="BG38" s="3">
        <v>0.74</v>
      </c>
      <c r="BH38" s="3">
        <v>0.41</v>
      </c>
      <c r="BI38" s="3">
        <v>1.34</v>
      </c>
      <c r="BJ38" s="2" t="s">
        <v>52</v>
      </c>
      <c r="BK38" s="406" t="s">
        <v>52</v>
      </c>
      <c r="BL38" s="2" t="s">
        <v>52</v>
      </c>
      <c r="BM38" s="2" t="s">
        <v>52</v>
      </c>
      <c r="BN38" s="2" t="s">
        <v>52</v>
      </c>
      <c r="BO38" s="2" t="s">
        <v>52</v>
      </c>
      <c r="BP38" s="2" t="s">
        <v>52</v>
      </c>
      <c r="BQ38" s="2" t="s">
        <v>52</v>
      </c>
      <c r="BR38" s="2" t="s">
        <v>52</v>
      </c>
      <c r="BS38" s="2" t="s">
        <v>52</v>
      </c>
      <c r="BT38" s="2" t="s">
        <v>52</v>
      </c>
      <c r="BU38" s="370" t="s">
        <v>52</v>
      </c>
      <c r="BV38" s="370" t="s">
        <v>52</v>
      </c>
      <c r="BW38" s="383" t="s">
        <v>52</v>
      </c>
      <c r="BX38" s="383" t="s">
        <v>52</v>
      </c>
      <c r="BY38" s="383" t="s">
        <v>52</v>
      </c>
      <c r="BZ38" s="383" t="s">
        <v>52</v>
      </c>
      <c r="CA38" s="383" t="s">
        <v>52</v>
      </c>
      <c r="CB38" s="370" t="s">
        <v>52</v>
      </c>
      <c r="CC38" s="2" t="s">
        <v>52</v>
      </c>
      <c r="CD38" s="2" t="s">
        <v>52</v>
      </c>
      <c r="CE38" s="370">
        <v>60</v>
      </c>
      <c r="CF38" s="3">
        <v>42</v>
      </c>
      <c r="CG38" s="383" t="s">
        <v>52</v>
      </c>
      <c r="CH38" s="383" t="s">
        <v>52</v>
      </c>
      <c r="CI38" s="384">
        <v>60</v>
      </c>
      <c r="CJ38" s="2">
        <v>61</v>
      </c>
      <c r="CK38" s="2">
        <v>10</v>
      </c>
      <c r="CL38" s="3" t="s">
        <v>2832</v>
      </c>
      <c r="CM38" s="528" t="s">
        <v>54</v>
      </c>
      <c r="CN38" s="528" t="s">
        <v>54</v>
      </c>
      <c r="CO38" s="495" t="s">
        <v>54</v>
      </c>
      <c r="CP38" s="495" t="s">
        <v>54</v>
      </c>
      <c r="CQ38" s="495" t="s">
        <v>54</v>
      </c>
      <c r="CR38" s="495" t="s">
        <v>54</v>
      </c>
      <c r="CS38" s="495" t="s">
        <v>54</v>
      </c>
      <c r="CT38" s="495" t="s">
        <v>54</v>
      </c>
      <c r="CU38" s="495" t="s">
        <v>54</v>
      </c>
      <c r="CV38" s="495" t="s">
        <v>54</v>
      </c>
      <c r="CW38" s="495" t="s">
        <v>54</v>
      </c>
      <c r="CX38" s="495" t="s">
        <v>54</v>
      </c>
      <c r="CY38" s="495" t="s">
        <v>54</v>
      </c>
      <c r="CZ38" s="495" t="s">
        <v>54</v>
      </c>
      <c r="DA38" s="495" t="s">
        <v>54</v>
      </c>
      <c r="DB38" s="495" t="s">
        <v>54</v>
      </c>
      <c r="DC38" s="495" t="s">
        <v>54</v>
      </c>
      <c r="DD38" s="495" t="s">
        <v>54</v>
      </c>
      <c r="DE38" s="495" t="s">
        <v>54</v>
      </c>
      <c r="DF38" s="495" t="s">
        <v>54</v>
      </c>
      <c r="DG38" s="495" t="s">
        <v>54</v>
      </c>
      <c r="DH38" s="495" t="s">
        <v>54</v>
      </c>
      <c r="DI38" s="495" t="s">
        <v>54</v>
      </c>
      <c r="DJ38" s="495" t="s">
        <v>54</v>
      </c>
      <c r="DK38" s="495" t="s">
        <v>54</v>
      </c>
      <c r="DL38" s="495" t="s">
        <v>54</v>
      </c>
      <c r="DM38" s="381" t="s">
        <v>54</v>
      </c>
      <c r="DN38" s="486" t="s">
        <v>54</v>
      </c>
      <c r="DO38" s="381" t="s">
        <v>54</v>
      </c>
      <c r="DP38" s="385" t="s">
        <v>54</v>
      </c>
      <c r="DQ38" s="385" t="s">
        <v>54</v>
      </c>
      <c r="DR38" s="381" t="s">
        <v>54</v>
      </c>
      <c r="DS38" s="381" t="s">
        <v>54</v>
      </c>
      <c r="DT38" s="381" t="s">
        <v>54</v>
      </c>
      <c r="DU38" s="381" t="s">
        <v>54</v>
      </c>
      <c r="DV38" s="381" t="s">
        <v>54</v>
      </c>
      <c r="DW38" s="381" t="s">
        <v>54</v>
      </c>
      <c r="DX38" s="489" t="s">
        <v>54</v>
      </c>
      <c r="DY38" s="405" t="s">
        <v>54</v>
      </c>
      <c r="DZ38" s="489" t="s">
        <v>54</v>
      </c>
      <c r="EA38" s="405" t="s">
        <v>54</v>
      </c>
      <c r="EB38" s="405" t="s">
        <v>54</v>
      </c>
      <c r="EC38" s="405" t="s">
        <v>54</v>
      </c>
      <c r="ED38" s="381" t="s">
        <v>54</v>
      </c>
      <c r="EE38" s="381" t="s">
        <v>54</v>
      </c>
      <c r="EF38" s="381" t="s">
        <v>54</v>
      </c>
      <c r="EG38" s="381" t="s">
        <v>54</v>
      </c>
      <c r="EH38" s="381" t="s">
        <v>54</v>
      </c>
      <c r="EI38" s="381" t="s">
        <v>54</v>
      </c>
      <c r="EJ38" s="381" t="s">
        <v>54</v>
      </c>
      <c r="EK38" s="381" t="s">
        <v>54</v>
      </c>
      <c r="EL38" s="381" t="s">
        <v>54</v>
      </c>
      <c r="EM38" s="381" t="s">
        <v>54</v>
      </c>
      <c r="EN38" s="381" t="s">
        <v>54</v>
      </c>
      <c r="EO38" s="381" t="s">
        <v>54</v>
      </c>
      <c r="EP38" s="381" t="s">
        <v>54</v>
      </c>
      <c r="EQ38" s="381" t="s">
        <v>54</v>
      </c>
      <c r="ER38" s="381" t="s">
        <v>54</v>
      </c>
      <c r="ES38" s="381" t="s">
        <v>54</v>
      </c>
      <c r="ET38" s="381" t="s">
        <v>54</v>
      </c>
      <c r="EU38" s="381" t="s">
        <v>54</v>
      </c>
    </row>
    <row r="39" spans="1:151" s="1" customFormat="1" ht="19.899999999999999" customHeight="1">
      <c r="A39" s="492"/>
      <c r="B39" s="492"/>
      <c r="C39" s="487"/>
      <c r="D39" s="506"/>
      <c r="E39" s="506"/>
      <c r="F39" s="539"/>
      <c r="G39" s="513"/>
      <c r="H39" s="506"/>
      <c r="I39" s="551"/>
      <c r="J39" s="544"/>
      <c r="K39" s="492"/>
      <c r="L39" s="496"/>
      <c r="M39" s="492"/>
      <c r="N39" s="487"/>
      <c r="O39" s="513"/>
      <c r="P39" s="531"/>
      <c r="Q39" s="496"/>
      <c r="R39" s="3" t="s">
        <v>2716</v>
      </c>
      <c r="S39" s="382" t="s">
        <v>52</v>
      </c>
      <c r="T39" s="371" t="s">
        <v>2759</v>
      </c>
      <c r="U39" s="387" t="s">
        <v>52</v>
      </c>
      <c r="V39" s="387" t="s">
        <v>52</v>
      </c>
      <c r="W39" s="372">
        <v>58</v>
      </c>
      <c r="X39" s="490"/>
      <c r="Y39" s="372">
        <v>66</v>
      </c>
      <c r="Z39" s="521"/>
      <c r="AA39" s="383">
        <v>58</v>
      </c>
      <c r="AB39" s="492"/>
      <c r="AC39" s="2">
        <v>52</v>
      </c>
      <c r="AD39" s="496"/>
      <c r="AE39" s="404" t="s">
        <v>52</v>
      </c>
      <c r="AF39" s="372" t="s">
        <v>3155</v>
      </c>
      <c r="AG39" s="387" t="s">
        <v>52</v>
      </c>
      <c r="AH39" s="373">
        <v>251.6</v>
      </c>
      <c r="AI39" s="373">
        <v>5.3</v>
      </c>
      <c r="AJ39" s="529"/>
      <c r="AK39" s="533"/>
      <c r="AL39" s="533"/>
      <c r="AM39" s="533"/>
      <c r="AN39" s="533"/>
      <c r="AO39" s="533"/>
      <c r="AP39" s="3">
        <v>58</v>
      </c>
      <c r="AQ39" s="546"/>
      <c r="AR39" s="2">
        <v>7.9</v>
      </c>
      <c r="AS39" s="366">
        <v>5.3</v>
      </c>
      <c r="AT39" s="366">
        <v>9.1</v>
      </c>
      <c r="AU39" s="2" t="s">
        <v>52</v>
      </c>
      <c r="AV39" s="2" t="s">
        <v>52</v>
      </c>
      <c r="AW39" s="2" t="s">
        <v>52</v>
      </c>
      <c r="AX39" s="2" t="s">
        <v>52</v>
      </c>
      <c r="AY39" s="2" t="s">
        <v>52</v>
      </c>
      <c r="AZ39" s="2" t="s">
        <v>52</v>
      </c>
      <c r="BA39" s="537"/>
      <c r="BB39" s="377">
        <v>58</v>
      </c>
      <c r="BC39" s="546"/>
      <c r="BD39" s="377">
        <v>2.8</v>
      </c>
      <c r="BE39" s="378" t="s">
        <v>52</v>
      </c>
      <c r="BF39" s="388" t="s">
        <v>52</v>
      </c>
      <c r="BG39" s="388" t="s">
        <v>52</v>
      </c>
      <c r="BH39" s="388" t="s">
        <v>52</v>
      </c>
      <c r="BI39" s="388" t="s">
        <v>52</v>
      </c>
      <c r="BJ39" s="388" t="s">
        <v>52</v>
      </c>
      <c r="BK39" s="406" t="s">
        <v>52</v>
      </c>
      <c r="BL39" s="2" t="s">
        <v>52</v>
      </c>
      <c r="BM39" s="2" t="s">
        <v>52</v>
      </c>
      <c r="BN39" s="2" t="s">
        <v>52</v>
      </c>
      <c r="BO39" s="2" t="s">
        <v>52</v>
      </c>
      <c r="BP39" s="2" t="s">
        <v>52</v>
      </c>
      <c r="BQ39" s="2" t="s">
        <v>52</v>
      </c>
      <c r="BR39" s="2" t="s">
        <v>52</v>
      </c>
      <c r="BS39" s="2" t="s">
        <v>52</v>
      </c>
      <c r="BT39" s="388" t="s">
        <v>52</v>
      </c>
      <c r="BU39" s="370" t="s">
        <v>52</v>
      </c>
      <c r="BV39" s="370" t="s">
        <v>52</v>
      </c>
      <c r="BW39" s="383" t="s">
        <v>52</v>
      </c>
      <c r="BX39" s="383" t="s">
        <v>52</v>
      </c>
      <c r="BY39" s="383" t="s">
        <v>52</v>
      </c>
      <c r="BZ39" s="383" t="s">
        <v>52</v>
      </c>
      <c r="CA39" s="383" t="s">
        <v>52</v>
      </c>
      <c r="CB39" s="370" t="s">
        <v>52</v>
      </c>
      <c r="CC39" s="2" t="s">
        <v>52</v>
      </c>
      <c r="CD39" s="2" t="s">
        <v>52</v>
      </c>
      <c r="CE39" s="370">
        <v>57</v>
      </c>
      <c r="CF39" s="3">
        <v>38</v>
      </c>
      <c r="CG39" s="383" t="s">
        <v>52</v>
      </c>
      <c r="CH39" s="383" t="s">
        <v>52</v>
      </c>
      <c r="CI39" s="384">
        <v>57</v>
      </c>
      <c r="CJ39" s="2">
        <v>58</v>
      </c>
      <c r="CK39" s="2">
        <v>3</v>
      </c>
      <c r="CL39" s="3" t="s">
        <v>2833</v>
      </c>
      <c r="CM39" s="534"/>
      <c r="CN39" s="534"/>
      <c r="CO39" s="496"/>
      <c r="CP39" s="496"/>
      <c r="CQ39" s="496"/>
      <c r="CR39" s="496"/>
      <c r="CS39" s="496"/>
      <c r="CT39" s="496"/>
      <c r="CU39" s="496"/>
      <c r="CV39" s="496"/>
      <c r="CW39" s="496"/>
      <c r="CX39" s="496"/>
      <c r="CY39" s="496"/>
      <c r="CZ39" s="496"/>
      <c r="DA39" s="496"/>
      <c r="DB39" s="496"/>
      <c r="DC39" s="496"/>
      <c r="DD39" s="496"/>
      <c r="DE39" s="496"/>
      <c r="DF39" s="496"/>
      <c r="DG39" s="496"/>
      <c r="DH39" s="496"/>
      <c r="DI39" s="496"/>
      <c r="DJ39" s="496"/>
      <c r="DK39" s="496"/>
      <c r="DL39" s="496"/>
      <c r="DM39" s="381" t="s">
        <v>54</v>
      </c>
      <c r="DN39" s="487"/>
      <c r="DO39" s="381" t="s">
        <v>54</v>
      </c>
      <c r="DP39" s="385" t="s">
        <v>54</v>
      </c>
      <c r="DQ39" s="385" t="s">
        <v>54</v>
      </c>
      <c r="DR39" s="381" t="s">
        <v>54</v>
      </c>
      <c r="DS39" s="381" t="s">
        <v>54</v>
      </c>
      <c r="DT39" s="381" t="s">
        <v>54</v>
      </c>
      <c r="DU39" s="381" t="s">
        <v>54</v>
      </c>
      <c r="DV39" s="381" t="s">
        <v>54</v>
      </c>
      <c r="DW39" s="381" t="s">
        <v>54</v>
      </c>
      <c r="DX39" s="490"/>
      <c r="DY39" s="405" t="s">
        <v>54</v>
      </c>
      <c r="DZ39" s="490"/>
      <c r="EA39" s="405" t="s">
        <v>54</v>
      </c>
      <c r="EB39" s="405" t="s">
        <v>54</v>
      </c>
      <c r="EC39" s="405" t="s">
        <v>54</v>
      </c>
      <c r="ED39" s="381" t="s">
        <v>54</v>
      </c>
      <c r="EE39" s="381" t="s">
        <v>54</v>
      </c>
      <c r="EF39" s="381" t="s">
        <v>54</v>
      </c>
      <c r="EG39" s="381" t="s">
        <v>54</v>
      </c>
      <c r="EH39" s="381" t="s">
        <v>54</v>
      </c>
      <c r="EI39" s="381" t="s">
        <v>54</v>
      </c>
      <c r="EJ39" s="381" t="s">
        <v>54</v>
      </c>
      <c r="EK39" s="381" t="s">
        <v>54</v>
      </c>
      <c r="EL39" s="381" t="s">
        <v>54</v>
      </c>
      <c r="EM39" s="381" t="s">
        <v>54</v>
      </c>
      <c r="EN39" s="381" t="s">
        <v>54</v>
      </c>
      <c r="EO39" s="381" t="s">
        <v>54</v>
      </c>
      <c r="EP39" s="381" t="s">
        <v>54</v>
      </c>
      <c r="EQ39" s="381" t="s">
        <v>54</v>
      </c>
      <c r="ER39" s="381" t="s">
        <v>54</v>
      </c>
      <c r="ES39" s="381" t="s">
        <v>54</v>
      </c>
      <c r="ET39" s="381" t="s">
        <v>54</v>
      </c>
      <c r="EU39" s="381" t="s">
        <v>54</v>
      </c>
    </row>
    <row r="40" spans="1:151" s="1" customFormat="1" ht="19.899999999999999" customHeight="1">
      <c r="A40" s="493"/>
      <c r="B40" s="493"/>
      <c r="C40" s="487"/>
      <c r="D40" s="507"/>
      <c r="E40" s="507"/>
      <c r="F40" s="540"/>
      <c r="G40" s="514"/>
      <c r="H40" s="507"/>
      <c r="I40" s="551"/>
      <c r="J40" s="544"/>
      <c r="K40" s="493"/>
      <c r="L40" s="497"/>
      <c r="M40" s="493"/>
      <c r="N40" s="487"/>
      <c r="O40" s="514"/>
      <c r="P40" s="531"/>
      <c r="Q40" s="497"/>
      <c r="R40" s="2" t="s">
        <v>54</v>
      </c>
      <c r="S40" s="382" t="s">
        <v>54</v>
      </c>
      <c r="T40" s="371" t="s">
        <v>54</v>
      </c>
      <c r="U40" s="373" t="s">
        <v>54</v>
      </c>
      <c r="V40" s="2" t="s">
        <v>54</v>
      </c>
      <c r="W40" s="372" t="s">
        <v>54</v>
      </c>
      <c r="X40" s="490"/>
      <c r="Y40" s="372" t="s">
        <v>54</v>
      </c>
      <c r="Z40" s="521"/>
      <c r="AA40" s="383" t="s">
        <v>54</v>
      </c>
      <c r="AB40" s="493"/>
      <c r="AC40" s="2" t="s">
        <v>54</v>
      </c>
      <c r="AD40" s="497"/>
      <c r="AE40" s="405" t="s">
        <v>54</v>
      </c>
      <c r="AF40" s="372" t="s">
        <v>54</v>
      </c>
      <c r="AG40" s="372" t="s">
        <v>54</v>
      </c>
      <c r="AH40" s="372" t="s">
        <v>54</v>
      </c>
      <c r="AI40" s="372" t="s">
        <v>54</v>
      </c>
      <c r="AJ40" s="529"/>
      <c r="AK40" s="533"/>
      <c r="AL40" s="533"/>
      <c r="AM40" s="533"/>
      <c r="AN40" s="533"/>
      <c r="AO40" s="533"/>
      <c r="AP40" s="2" t="s">
        <v>54</v>
      </c>
      <c r="AQ40" s="546"/>
      <c r="AR40" s="2" t="s">
        <v>54</v>
      </c>
      <c r="AS40" s="366" t="s">
        <v>54</v>
      </c>
      <c r="AT40" s="366" t="s">
        <v>54</v>
      </c>
      <c r="AU40" s="2" t="s">
        <v>54</v>
      </c>
      <c r="AV40" s="2" t="s">
        <v>54</v>
      </c>
      <c r="AW40" s="2" t="s">
        <v>54</v>
      </c>
      <c r="AX40" s="2" t="s">
        <v>54</v>
      </c>
      <c r="AY40" s="380" t="s">
        <v>54</v>
      </c>
      <c r="AZ40" s="378" t="s">
        <v>54</v>
      </c>
      <c r="BA40" s="537"/>
      <c r="BB40" s="378" t="s">
        <v>54</v>
      </c>
      <c r="BC40" s="546"/>
      <c r="BD40" s="378" t="s">
        <v>54</v>
      </c>
      <c r="BE40" s="378" t="s">
        <v>54</v>
      </c>
      <c r="BF40" s="378" t="s">
        <v>54</v>
      </c>
      <c r="BG40" s="2" t="s">
        <v>54</v>
      </c>
      <c r="BH40" s="2" t="s">
        <v>54</v>
      </c>
      <c r="BI40" s="2" t="s">
        <v>54</v>
      </c>
      <c r="BJ40" s="2" t="s">
        <v>54</v>
      </c>
      <c r="BK40" s="371" t="s">
        <v>54</v>
      </c>
      <c r="BL40" s="2" t="s">
        <v>54</v>
      </c>
      <c r="BM40" s="2" t="s">
        <v>54</v>
      </c>
      <c r="BN40" s="2" t="s">
        <v>54</v>
      </c>
      <c r="BO40" s="2" t="s">
        <v>54</v>
      </c>
      <c r="BP40" s="2" t="s">
        <v>54</v>
      </c>
      <c r="BQ40" s="2" t="s">
        <v>54</v>
      </c>
      <c r="BR40" s="2" t="s">
        <v>54</v>
      </c>
      <c r="BS40" s="2" t="s">
        <v>54</v>
      </c>
      <c r="BT40" s="2" t="s">
        <v>54</v>
      </c>
      <c r="BU40" s="370" t="s">
        <v>54</v>
      </c>
      <c r="BV40" s="2" t="s">
        <v>54</v>
      </c>
      <c r="BW40" s="383" t="s">
        <v>54</v>
      </c>
      <c r="BX40" s="381" t="s">
        <v>54</v>
      </c>
      <c r="BY40" s="383" t="s">
        <v>54</v>
      </c>
      <c r="BZ40" s="381" t="s">
        <v>54</v>
      </c>
      <c r="CA40" s="383" t="s">
        <v>54</v>
      </c>
      <c r="CB40" s="2" t="s">
        <v>54</v>
      </c>
      <c r="CC40" s="2" t="s">
        <v>54</v>
      </c>
      <c r="CD40" s="2" t="s">
        <v>54</v>
      </c>
      <c r="CE40" s="370" t="s">
        <v>54</v>
      </c>
      <c r="CF40" s="2" t="s">
        <v>54</v>
      </c>
      <c r="CG40" s="383" t="s">
        <v>54</v>
      </c>
      <c r="CH40" s="383" t="s">
        <v>54</v>
      </c>
      <c r="CI40" s="383" t="s">
        <v>54</v>
      </c>
      <c r="CJ40" s="2" t="s">
        <v>54</v>
      </c>
      <c r="CK40" s="2" t="s">
        <v>54</v>
      </c>
      <c r="CL40" s="2" t="s">
        <v>54</v>
      </c>
      <c r="CM40" s="534"/>
      <c r="CN40" s="534"/>
      <c r="CO40" s="497"/>
      <c r="CP40" s="497"/>
      <c r="CQ40" s="497"/>
      <c r="CR40" s="497"/>
      <c r="CS40" s="497"/>
      <c r="CT40" s="497"/>
      <c r="CU40" s="497"/>
      <c r="CV40" s="497"/>
      <c r="CW40" s="497"/>
      <c r="CX40" s="497"/>
      <c r="CY40" s="497"/>
      <c r="CZ40" s="497"/>
      <c r="DA40" s="497"/>
      <c r="DB40" s="497"/>
      <c r="DC40" s="497"/>
      <c r="DD40" s="497"/>
      <c r="DE40" s="497"/>
      <c r="DF40" s="497"/>
      <c r="DG40" s="497"/>
      <c r="DH40" s="497"/>
      <c r="DI40" s="497"/>
      <c r="DJ40" s="497"/>
      <c r="DK40" s="497"/>
      <c r="DL40" s="497"/>
      <c r="DM40" s="381" t="s">
        <v>54</v>
      </c>
      <c r="DN40" s="487"/>
      <c r="DO40" s="381" t="s">
        <v>54</v>
      </c>
      <c r="DP40" s="385" t="s">
        <v>54</v>
      </c>
      <c r="DQ40" s="385" t="s">
        <v>54</v>
      </c>
      <c r="DR40" s="381" t="s">
        <v>54</v>
      </c>
      <c r="DS40" s="381" t="s">
        <v>54</v>
      </c>
      <c r="DT40" s="381" t="s">
        <v>54</v>
      </c>
      <c r="DU40" s="381" t="s">
        <v>54</v>
      </c>
      <c r="DV40" s="381" t="s">
        <v>54</v>
      </c>
      <c r="DW40" s="381" t="s">
        <v>54</v>
      </c>
      <c r="DX40" s="490"/>
      <c r="DY40" s="405" t="s">
        <v>54</v>
      </c>
      <c r="DZ40" s="490"/>
      <c r="EA40" s="405" t="s">
        <v>54</v>
      </c>
      <c r="EB40" s="405" t="s">
        <v>54</v>
      </c>
      <c r="EC40" s="405" t="s">
        <v>54</v>
      </c>
      <c r="ED40" s="381" t="s">
        <v>54</v>
      </c>
      <c r="EE40" s="381" t="s">
        <v>54</v>
      </c>
      <c r="EF40" s="381" t="s">
        <v>54</v>
      </c>
      <c r="EG40" s="381" t="s">
        <v>54</v>
      </c>
      <c r="EH40" s="381" t="s">
        <v>54</v>
      </c>
      <c r="EI40" s="381" t="s">
        <v>54</v>
      </c>
      <c r="EJ40" s="381" t="s">
        <v>54</v>
      </c>
      <c r="EK40" s="381" t="s">
        <v>54</v>
      </c>
      <c r="EL40" s="381" t="s">
        <v>54</v>
      </c>
      <c r="EM40" s="381" t="s">
        <v>54</v>
      </c>
      <c r="EN40" s="381" t="s">
        <v>54</v>
      </c>
      <c r="EO40" s="381" t="s">
        <v>54</v>
      </c>
      <c r="EP40" s="381" t="s">
        <v>54</v>
      </c>
      <c r="EQ40" s="381" t="s">
        <v>54</v>
      </c>
      <c r="ER40" s="381" t="s">
        <v>54</v>
      </c>
      <c r="ES40" s="381" t="s">
        <v>54</v>
      </c>
      <c r="ET40" s="381" t="s">
        <v>54</v>
      </c>
      <c r="EU40" s="381" t="s">
        <v>54</v>
      </c>
    </row>
    <row r="41" spans="1:151" s="1" customFormat="1" ht="19.899999999999999" customHeight="1">
      <c r="A41" s="494"/>
      <c r="B41" s="494"/>
      <c r="C41" s="488"/>
      <c r="D41" s="508"/>
      <c r="E41" s="508"/>
      <c r="F41" s="541"/>
      <c r="G41" s="515"/>
      <c r="H41" s="508"/>
      <c r="I41" s="552"/>
      <c r="J41" s="545"/>
      <c r="K41" s="494"/>
      <c r="L41" s="498"/>
      <c r="M41" s="494"/>
      <c r="N41" s="488"/>
      <c r="O41" s="515"/>
      <c r="P41" s="532"/>
      <c r="Q41" s="498"/>
      <c r="R41" s="2" t="s">
        <v>54</v>
      </c>
      <c r="S41" s="382" t="s">
        <v>52</v>
      </c>
      <c r="T41" s="371" t="s">
        <v>54</v>
      </c>
      <c r="U41" s="373" t="s">
        <v>54</v>
      </c>
      <c r="V41" s="2" t="s">
        <v>54</v>
      </c>
      <c r="W41" s="372" t="s">
        <v>54</v>
      </c>
      <c r="X41" s="490"/>
      <c r="Y41" s="372" t="s">
        <v>54</v>
      </c>
      <c r="Z41" s="521"/>
      <c r="AA41" s="383" t="s">
        <v>54</v>
      </c>
      <c r="AB41" s="494"/>
      <c r="AC41" s="2" t="s">
        <v>54</v>
      </c>
      <c r="AD41" s="498"/>
      <c r="AE41" s="405" t="s">
        <v>54</v>
      </c>
      <c r="AF41" s="372" t="s">
        <v>54</v>
      </c>
      <c r="AG41" s="372" t="s">
        <v>54</v>
      </c>
      <c r="AH41" s="372" t="s">
        <v>54</v>
      </c>
      <c r="AI41" s="372" t="s">
        <v>54</v>
      </c>
      <c r="AJ41" s="530"/>
      <c r="AK41" s="533"/>
      <c r="AL41" s="533"/>
      <c r="AM41" s="533"/>
      <c r="AN41" s="533"/>
      <c r="AO41" s="533"/>
      <c r="AP41" s="2" t="s">
        <v>54</v>
      </c>
      <c r="AQ41" s="547"/>
      <c r="AR41" s="2" t="s">
        <v>54</v>
      </c>
      <c r="AS41" s="366" t="s">
        <v>54</v>
      </c>
      <c r="AT41" s="366" t="s">
        <v>54</v>
      </c>
      <c r="AU41" s="2" t="s">
        <v>54</v>
      </c>
      <c r="AV41" s="2" t="s">
        <v>54</v>
      </c>
      <c r="AW41" s="2" t="s">
        <v>54</v>
      </c>
      <c r="AX41" s="2" t="s">
        <v>54</v>
      </c>
      <c r="AY41" s="380" t="s">
        <v>54</v>
      </c>
      <c r="AZ41" s="378" t="s">
        <v>54</v>
      </c>
      <c r="BA41" s="537"/>
      <c r="BB41" s="378" t="s">
        <v>54</v>
      </c>
      <c r="BC41" s="547"/>
      <c r="BD41" s="378" t="s">
        <v>54</v>
      </c>
      <c r="BE41" s="378" t="s">
        <v>54</v>
      </c>
      <c r="BF41" s="378" t="s">
        <v>54</v>
      </c>
      <c r="BG41" s="2" t="s">
        <v>54</v>
      </c>
      <c r="BH41" s="2" t="s">
        <v>54</v>
      </c>
      <c r="BI41" s="2" t="s">
        <v>54</v>
      </c>
      <c r="BJ41" s="2" t="s">
        <v>54</v>
      </c>
      <c r="BK41" s="371" t="s">
        <v>54</v>
      </c>
      <c r="BL41" s="2" t="s">
        <v>54</v>
      </c>
      <c r="BM41" s="2" t="s">
        <v>54</v>
      </c>
      <c r="BN41" s="2" t="s">
        <v>54</v>
      </c>
      <c r="BO41" s="2" t="s">
        <v>54</v>
      </c>
      <c r="BP41" s="2" t="s">
        <v>54</v>
      </c>
      <c r="BQ41" s="2" t="s">
        <v>54</v>
      </c>
      <c r="BR41" s="2" t="s">
        <v>54</v>
      </c>
      <c r="BS41" s="2" t="s">
        <v>54</v>
      </c>
      <c r="BT41" s="2" t="s">
        <v>54</v>
      </c>
      <c r="BU41" s="370" t="s">
        <v>54</v>
      </c>
      <c r="BV41" s="2" t="s">
        <v>54</v>
      </c>
      <c r="BW41" s="383" t="s">
        <v>54</v>
      </c>
      <c r="BX41" s="381" t="s">
        <v>54</v>
      </c>
      <c r="BY41" s="383" t="s">
        <v>54</v>
      </c>
      <c r="BZ41" s="381" t="s">
        <v>54</v>
      </c>
      <c r="CA41" s="383" t="s">
        <v>54</v>
      </c>
      <c r="CB41" s="2" t="s">
        <v>54</v>
      </c>
      <c r="CC41" s="2" t="s">
        <v>54</v>
      </c>
      <c r="CD41" s="2" t="s">
        <v>54</v>
      </c>
      <c r="CE41" s="370" t="s">
        <v>54</v>
      </c>
      <c r="CF41" s="2" t="s">
        <v>54</v>
      </c>
      <c r="CG41" s="383" t="s">
        <v>54</v>
      </c>
      <c r="CH41" s="383" t="s">
        <v>54</v>
      </c>
      <c r="CI41" s="383" t="s">
        <v>54</v>
      </c>
      <c r="CJ41" s="2" t="s">
        <v>54</v>
      </c>
      <c r="CK41" s="2" t="s">
        <v>54</v>
      </c>
      <c r="CL41" s="2" t="s">
        <v>54</v>
      </c>
      <c r="CM41" s="535"/>
      <c r="CN41" s="535"/>
      <c r="CO41" s="498"/>
      <c r="CP41" s="498"/>
      <c r="CQ41" s="498"/>
      <c r="CR41" s="498"/>
      <c r="CS41" s="498"/>
      <c r="CT41" s="498"/>
      <c r="CU41" s="498"/>
      <c r="CV41" s="498"/>
      <c r="CW41" s="498"/>
      <c r="CX41" s="498"/>
      <c r="CY41" s="498"/>
      <c r="CZ41" s="498"/>
      <c r="DA41" s="498"/>
      <c r="DB41" s="498"/>
      <c r="DC41" s="498"/>
      <c r="DD41" s="498"/>
      <c r="DE41" s="498"/>
      <c r="DF41" s="498"/>
      <c r="DG41" s="498"/>
      <c r="DH41" s="498"/>
      <c r="DI41" s="498"/>
      <c r="DJ41" s="498"/>
      <c r="DK41" s="498"/>
      <c r="DL41" s="498"/>
      <c r="DM41" s="381" t="s">
        <v>54</v>
      </c>
      <c r="DN41" s="488"/>
      <c r="DO41" s="381" t="s">
        <v>54</v>
      </c>
      <c r="DP41" s="385" t="s">
        <v>54</v>
      </c>
      <c r="DQ41" s="385" t="s">
        <v>54</v>
      </c>
      <c r="DR41" s="381" t="s">
        <v>54</v>
      </c>
      <c r="DS41" s="381" t="s">
        <v>54</v>
      </c>
      <c r="DT41" s="381" t="s">
        <v>54</v>
      </c>
      <c r="DU41" s="381" t="s">
        <v>54</v>
      </c>
      <c r="DV41" s="381" t="s">
        <v>54</v>
      </c>
      <c r="DW41" s="381" t="s">
        <v>54</v>
      </c>
      <c r="DX41" s="490"/>
      <c r="DY41" s="405" t="s">
        <v>54</v>
      </c>
      <c r="DZ41" s="490"/>
      <c r="EA41" s="405" t="s">
        <v>54</v>
      </c>
      <c r="EB41" s="405" t="s">
        <v>54</v>
      </c>
      <c r="EC41" s="405" t="s">
        <v>54</v>
      </c>
      <c r="ED41" s="381" t="s">
        <v>54</v>
      </c>
      <c r="EE41" s="381" t="s">
        <v>54</v>
      </c>
      <c r="EF41" s="381" t="s">
        <v>54</v>
      </c>
      <c r="EG41" s="381" t="s">
        <v>54</v>
      </c>
      <c r="EH41" s="381" t="s">
        <v>54</v>
      </c>
      <c r="EI41" s="381" t="s">
        <v>54</v>
      </c>
      <c r="EJ41" s="381" t="s">
        <v>54</v>
      </c>
      <c r="EK41" s="381" t="s">
        <v>54</v>
      </c>
      <c r="EL41" s="381" t="s">
        <v>54</v>
      </c>
      <c r="EM41" s="381" t="s">
        <v>54</v>
      </c>
      <c r="EN41" s="381" t="s">
        <v>54</v>
      </c>
      <c r="EO41" s="381" t="s">
        <v>54</v>
      </c>
      <c r="EP41" s="381" t="s">
        <v>54</v>
      </c>
      <c r="EQ41" s="381" t="s">
        <v>54</v>
      </c>
      <c r="ER41" s="381" t="s">
        <v>54</v>
      </c>
      <c r="ES41" s="381" t="s">
        <v>54</v>
      </c>
      <c r="ET41" s="381" t="s">
        <v>54</v>
      </c>
      <c r="EU41" s="381" t="s">
        <v>54</v>
      </c>
    </row>
    <row r="42" spans="1:151" s="1" customFormat="1" ht="19.899999999999999" customHeight="1">
      <c r="A42" s="491">
        <v>10</v>
      </c>
      <c r="B42" s="491" t="s">
        <v>3094</v>
      </c>
      <c r="C42" s="486" t="s">
        <v>2797</v>
      </c>
      <c r="D42" s="495" t="s">
        <v>2791</v>
      </c>
      <c r="E42" s="548" t="s">
        <v>2671</v>
      </c>
      <c r="F42" s="549" t="s">
        <v>2870</v>
      </c>
      <c r="G42" s="512" t="s">
        <v>2910</v>
      </c>
      <c r="H42" s="495" t="s">
        <v>2792</v>
      </c>
      <c r="I42" s="549" t="s">
        <v>2911</v>
      </c>
      <c r="J42" s="495" t="s">
        <v>2711</v>
      </c>
      <c r="K42" s="516" t="s">
        <v>3112</v>
      </c>
      <c r="L42" s="495" t="s">
        <v>3133</v>
      </c>
      <c r="M42" s="491" t="s">
        <v>2889</v>
      </c>
      <c r="N42" s="486" t="s">
        <v>3133</v>
      </c>
      <c r="O42" s="512" t="s">
        <v>2888</v>
      </c>
      <c r="P42" s="517" t="s">
        <v>2922</v>
      </c>
      <c r="Q42" s="495">
        <v>2</v>
      </c>
      <c r="R42" s="2" t="s">
        <v>2723</v>
      </c>
      <c r="S42" s="382" t="s">
        <v>52</v>
      </c>
      <c r="T42" s="371" t="s">
        <v>2753</v>
      </c>
      <c r="U42" s="387" t="s">
        <v>52</v>
      </c>
      <c r="V42" s="2">
        <v>39.130000000000003</v>
      </c>
      <c r="W42" s="372">
        <v>113</v>
      </c>
      <c r="X42" s="489">
        <v>228</v>
      </c>
      <c r="Y42" s="372">
        <v>70.7</v>
      </c>
      <c r="Z42" s="520">
        <v>70.750438596491236</v>
      </c>
      <c r="AA42" s="383">
        <v>113</v>
      </c>
      <c r="AB42" s="491">
        <v>228</v>
      </c>
      <c r="AC42" s="387" t="s">
        <v>52</v>
      </c>
      <c r="AD42" s="495" t="s">
        <v>52</v>
      </c>
      <c r="AE42" s="404" t="s">
        <v>52</v>
      </c>
      <c r="AF42" s="372" t="s">
        <v>2770</v>
      </c>
      <c r="AG42" s="387" t="s">
        <v>52</v>
      </c>
      <c r="AH42" s="373">
        <v>70.900000000000006</v>
      </c>
      <c r="AI42" s="387" t="s">
        <v>52</v>
      </c>
      <c r="AJ42" s="528" t="s">
        <v>2714</v>
      </c>
      <c r="AK42" s="533" t="s">
        <v>3323</v>
      </c>
      <c r="AL42" s="533">
        <v>232</v>
      </c>
      <c r="AM42" s="533">
        <v>228</v>
      </c>
      <c r="AN42" s="533">
        <v>77</v>
      </c>
      <c r="AO42" s="533" t="s">
        <v>3156</v>
      </c>
      <c r="AP42" s="3">
        <v>113</v>
      </c>
      <c r="AQ42" s="543">
        <f t="shared" ref="AQ42" si="7">AP42+AP43</f>
        <v>228</v>
      </c>
      <c r="AR42" s="2">
        <v>21.88</v>
      </c>
      <c r="AS42" s="366" t="s">
        <v>52</v>
      </c>
      <c r="AT42" s="366" t="s">
        <v>52</v>
      </c>
      <c r="AU42" s="2">
        <v>0.63</v>
      </c>
      <c r="AV42" s="2">
        <v>0.46</v>
      </c>
      <c r="AW42" s="2">
        <v>0.86</v>
      </c>
      <c r="AX42" s="2">
        <v>1.1000000000000001E-3</v>
      </c>
      <c r="AY42" s="379">
        <v>0.78600000000000003</v>
      </c>
      <c r="AZ42" s="2">
        <v>12</v>
      </c>
      <c r="BA42" s="536" t="s">
        <v>2808</v>
      </c>
      <c r="BB42" s="378" t="s">
        <v>52</v>
      </c>
      <c r="BC42" s="543" t="s">
        <v>52</v>
      </c>
      <c r="BD42" s="377">
        <v>3.42</v>
      </c>
      <c r="BE42" s="377">
        <v>2.79</v>
      </c>
      <c r="BF42" s="377">
        <v>4.96</v>
      </c>
      <c r="BG42" s="2" t="s">
        <v>52</v>
      </c>
      <c r="BH42" s="2" t="s">
        <v>52</v>
      </c>
      <c r="BI42" s="2" t="s">
        <v>52</v>
      </c>
      <c r="BJ42" s="3">
        <v>2.8999999999999998E-3</v>
      </c>
      <c r="BK42" s="406" t="s">
        <v>52</v>
      </c>
      <c r="BL42" s="2" t="s">
        <v>52</v>
      </c>
      <c r="BM42" s="2" t="s">
        <v>52</v>
      </c>
      <c r="BN42" s="2" t="s">
        <v>52</v>
      </c>
      <c r="BO42" s="2" t="s">
        <v>52</v>
      </c>
      <c r="BP42" s="2" t="s">
        <v>52</v>
      </c>
      <c r="BQ42" s="2" t="s">
        <v>52</v>
      </c>
      <c r="BR42" s="2" t="s">
        <v>52</v>
      </c>
      <c r="BS42" s="2" t="s">
        <v>52</v>
      </c>
      <c r="BT42" s="2" t="s">
        <v>52</v>
      </c>
      <c r="BU42" s="370">
        <v>29</v>
      </c>
      <c r="BV42" s="3">
        <v>7</v>
      </c>
      <c r="BW42" s="383" t="s">
        <v>52</v>
      </c>
      <c r="BX42" s="381">
        <v>1</v>
      </c>
      <c r="BY42" s="383" t="s">
        <v>52</v>
      </c>
      <c r="BZ42" s="384">
        <v>6</v>
      </c>
      <c r="CA42" s="383" t="s">
        <v>52</v>
      </c>
      <c r="CB42" s="2" t="s">
        <v>2813</v>
      </c>
      <c r="CC42" s="2">
        <v>94</v>
      </c>
      <c r="CD42" s="2">
        <v>33</v>
      </c>
      <c r="CE42" s="370">
        <v>111</v>
      </c>
      <c r="CF42" s="3">
        <v>83</v>
      </c>
      <c r="CG42" s="383" t="s">
        <v>52</v>
      </c>
      <c r="CH42" s="383" t="s">
        <v>52</v>
      </c>
      <c r="CI42" s="383" t="s">
        <v>52</v>
      </c>
      <c r="CJ42" s="2" t="s">
        <v>52</v>
      </c>
      <c r="CK42" s="2" t="s">
        <v>52</v>
      </c>
      <c r="CL42" s="3" t="s">
        <v>2842</v>
      </c>
      <c r="CM42" s="528" t="s">
        <v>54</v>
      </c>
      <c r="CN42" s="528" t="s">
        <v>54</v>
      </c>
      <c r="CO42" s="495" t="s">
        <v>54</v>
      </c>
      <c r="CP42" s="495" t="s">
        <v>54</v>
      </c>
      <c r="CQ42" s="495" t="s">
        <v>54</v>
      </c>
      <c r="CR42" s="495" t="s">
        <v>54</v>
      </c>
      <c r="CS42" s="495" t="s">
        <v>54</v>
      </c>
      <c r="CT42" s="495" t="s">
        <v>54</v>
      </c>
      <c r="CU42" s="495" t="s">
        <v>54</v>
      </c>
      <c r="CV42" s="495" t="s">
        <v>54</v>
      </c>
      <c r="CW42" s="495" t="s">
        <v>54</v>
      </c>
      <c r="CX42" s="495" t="s">
        <v>54</v>
      </c>
      <c r="CY42" s="495" t="s">
        <v>54</v>
      </c>
      <c r="CZ42" s="495" t="s">
        <v>54</v>
      </c>
      <c r="DA42" s="495" t="s">
        <v>54</v>
      </c>
      <c r="DB42" s="495" t="s">
        <v>54</v>
      </c>
      <c r="DC42" s="495" t="s">
        <v>54</v>
      </c>
      <c r="DD42" s="495" t="s">
        <v>54</v>
      </c>
      <c r="DE42" s="495" t="s">
        <v>54</v>
      </c>
      <c r="DF42" s="495" t="s">
        <v>54</v>
      </c>
      <c r="DG42" s="495" t="s">
        <v>54</v>
      </c>
      <c r="DH42" s="495" t="s">
        <v>54</v>
      </c>
      <c r="DI42" s="495" t="s">
        <v>54</v>
      </c>
      <c r="DJ42" s="495" t="s">
        <v>54</v>
      </c>
      <c r="DK42" s="495" t="s">
        <v>54</v>
      </c>
      <c r="DL42" s="495" t="s">
        <v>54</v>
      </c>
      <c r="DM42" s="381" t="s">
        <v>54</v>
      </c>
      <c r="DN42" s="486" t="s">
        <v>54</v>
      </c>
      <c r="DO42" s="381" t="s">
        <v>54</v>
      </c>
      <c r="DP42" s="385" t="s">
        <v>54</v>
      </c>
      <c r="DQ42" s="385" t="s">
        <v>54</v>
      </c>
      <c r="DR42" s="381" t="s">
        <v>54</v>
      </c>
      <c r="DS42" s="381" t="s">
        <v>54</v>
      </c>
      <c r="DT42" s="381" t="s">
        <v>54</v>
      </c>
      <c r="DU42" s="381" t="s">
        <v>54</v>
      </c>
      <c r="DV42" s="381" t="s">
        <v>54</v>
      </c>
      <c r="DW42" s="381" t="s">
        <v>54</v>
      </c>
      <c r="DX42" s="489" t="s">
        <v>54</v>
      </c>
      <c r="DY42" s="405" t="s">
        <v>54</v>
      </c>
      <c r="DZ42" s="489" t="s">
        <v>54</v>
      </c>
      <c r="EA42" s="405" t="s">
        <v>54</v>
      </c>
      <c r="EB42" s="405" t="s">
        <v>54</v>
      </c>
      <c r="EC42" s="405" t="s">
        <v>54</v>
      </c>
      <c r="ED42" s="381" t="s">
        <v>54</v>
      </c>
      <c r="EE42" s="381" t="s">
        <v>54</v>
      </c>
      <c r="EF42" s="381" t="s">
        <v>54</v>
      </c>
      <c r="EG42" s="381" t="s">
        <v>54</v>
      </c>
      <c r="EH42" s="381" t="s">
        <v>54</v>
      </c>
      <c r="EI42" s="381" t="s">
        <v>54</v>
      </c>
      <c r="EJ42" s="381" t="s">
        <v>54</v>
      </c>
      <c r="EK42" s="381" t="s">
        <v>54</v>
      </c>
      <c r="EL42" s="381" t="s">
        <v>54</v>
      </c>
      <c r="EM42" s="381" t="s">
        <v>54</v>
      </c>
      <c r="EN42" s="381" t="s">
        <v>54</v>
      </c>
      <c r="EO42" s="381" t="s">
        <v>54</v>
      </c>
      <c r="EP42" s="381" t="s">
        <v>54</v>
      </c>
      <c r="EQ42" s="381" t="s">
        <v>54</v>
      </c>
      <c r="ER42" s="381" t="s">
        <v>54</v>
      </c>
      <c r="ES42" s="381" t="s">
        <v>54</v>
      </c>
      <c r="ET42" s="381" t="s">
        <v>54</v>
      </c>
      <c r="EU42" s="381" t="s">
        <v>54</v>
      </c>
    </row>
    <row r="43" spans="1:151" s="1" customFormat="1" ht="19.899999999999999" customHeight="1">
      <c r="A43" s="492"/>
      <c r="B43" s="492"/>
      <c r="C43" s="487"/>
      <c r="D43" s="506"/>
      <c r="E43" s="506"/>
      <c r="F43" s="539"/>
      <c r="G43" s="513"/>
      <c r="H43" s="506"/>
      <c r="I43" s="539"/>
      <c r="J43" s="506"/>
      <c r="K43" s="492"/>
      <c r="L43" s="496"/>
      <c r="M43" s="492"/>
      <c r="N43" s="487"/>
      <c r="O43" s="513"/>
      <c r="P43" s="531"/>
      <c r="Q43" s="496"/>
      <c r="R43" s="3" t="s">
        <v>2724</v>
      </c>
      <c r="S43" s="382" t="s">
        <v>52</v>
      </c>
      <c r="T43" s="371" t="s">
        <v>2753</v>
      </c>
      <c r="U43" s="387" t="s">
        <v>52</v>
      </c>
      <c r="V43" s="2">
        <v>28.45</v>
      </c>
      <c r="W43" s="372">
        <v>115</v>
      </c>
      <c r="X43" s="490"/>
      <c r="Y43" s="372">
        <v>70.8</v>
      </c>
      <c r="Z43" s="521"/>
      <c r="AA43" s="383">
        <v>115</v>
      </c>
      <c r="AB43" s="492"/>
      <c r="AC43" s="387" t="s">
        <v>52</v>
      </c>
      <c r="AD43" s="496"/>
      <c r="AE43" s="404" t="s">
        <v>52</v>
      </c>
      <c r="AF43" s="372" t="s">
        <v>2767</v>
      </c>
      <c r="AG43" s="387" t="s">
        <v>52</v>
      </c>
      <c r="AH43" s="373">
        <v>100</v>
      </c>
      <c r="AI43" s="387" t="s">
        <v>52</v>
      </c>
      <c r="AJ43" s="529"/>
      <c r="AK43" s="533"/>
      <c r="AL43" s="533"/>
      <c r="AM43" s="533"/>
      <c r="AN43" s="533"/>
      <c r="AO43" s="533"/>
      <c r="AP43" s="3">
        <v>115</v>
      </c>
      <c r="AQ43" s="546"/>
      <c r="AR43" s="2">
        <v>13.67</v>
      </c>
      <c r="AS43" s="366" t="s">
        <v>52</v>
      </c>
      <c r="AT43" s="366" t="s">
        <v>52</v>
      </c>
      <c r="AU43" s="2" t="s">
        <v>52</v>
      </c>
      <c r="AV43" s="2" t="s">
        <v>52</v>
      </c>
      <c r="AW43" s="2" t="s">
        <v>52</v>
      </c>
      <c r="AX43" s="2" t="s">
        <v>52</v>
      </c>
      <c r="AY43" s="379">
        <v>0.51900000000000002</v>
      </c>
      <c r="AZ43" s="2">
        <v>12</v>
      </c>
      <c r="BA43" s="537"/>
      <c r="BB43" s="378" t="s">
        <v>52</v>
      </c>
      <c r="BC43" s="546"/>
      <c r="BD43" s="377">
        <v>2.14</v>
      </c>
      <c r="BE43" s="377">
        <v>1.61</v>
      </c>
      <c r="BF43" s="377">
        <v>2.76</v>
      </c>
      <c r="BG43" s="2" t="s">
        <v>52</v>
      </c>
      <c r="BH43" s="2" t="s">
        <v>52</v>
      </c>
      <c r="BI43" s="2" t="s">
        <v>52</v>
      </c>
      <c r="BJ43" s="2" t="s">
        <v>52</v>
      </c>
      <c r="BK43" s="406" t="s">
        <v>52</v>
      </c>
      <c r="BL43" s="2" t="s">
        <v>52</v>
      </c>
      <c r="BM43" s="2" t="s">
        <v>52</v>
      </c>
      <c r="BN43" s="2" t="s">
        <v>52</v>
      </c>
      <c r="BO43" s="2" t="s">
        <v>52</v>
      </c>
      <c r="BP43" s="2" t="s">
        <v>52</v>
      </c>
      <c r="BQ43" s="2" t="s">
        <v>52</v>
      </c>
      <c r="BR43" s="2" t="s">
        <v>52</v>
      </c>
      <c r="BS43" s="2" t="s">
        <v>52</v>
      </c>
      <c r="BT43" s="2" t="s">
        <v>52</v>
      </c>
      <c r="BU43" s="370">
        <v>31</v>
      </c>
      <c r="BV43" s="3">
        <v>5</v>
      </c>
      <c r="BW43" s="383" t="s">
        <v>52</v>
      </c>
      <c r="BX43" s="381">
        <v>0</v>
      </c>
      <c r="BY43" s="383" t="s">
        <v>52</v>
      </c>
      <c r="BZ43" s="384">
        <v>5</v>
      </c>
      <c r="CA43" s="383" t="s">
        <v>52</v>
      </c>
      <c r="CB43" s="2" t="s">
        <v>2814</v>
      </c>
      <c r="CC43" s="2">
        <v>98</v>
      </c>
      <c r="CD43" s="2">
        <v>19</v>
      </c>
      <c r="CE43" s="370">
        <v>109</v>
      </c>
      <c r="CF43" s="3">
        <v>73</v>
      </c>
      <c r="CG43" s="383" t="s">
        <v>52</v>
      </c>
      <c r="CH43" s="383" t="s">
        <v>52</v>
      </c>
      <c r="CI43" s="383" t="s">
        <v>52</v>
      </c>
      <c r="CJ43" s="2" t="s">
        <v>52</v>
      </c>
      <c r="CK43" s="2" t="s">
        <v>52</v>
      </c>
      <c r="CL43" s="3" t="s">
        <v>2842</v>
      </c>
      <c r="CM43" s="534"/>
      <c r="CN43" s="534"/>
      <c r="CO43" s="496"/>
      <c r="CP43" s="496"/>
      <c r="CQ43" s="496"/>
      <c r="CR43" s="496"/>
      <c r="CS43" s="496"/>
      <c r="CT43" s="496"/>
      <c r="CU43" s="496"/>
      <c r="CV43" s="496"/>
      <c r="CW43" s="496"/>
      <c r="CX43" s="496"/>
      <c r="CY43" s="496"/>
      <c r="CZ43" s="496"/>
      <c r="DA43" s="496"/>
      <c r="DB43" s="496"/>
      <c r="DC43" s="496"/>
      <c r="DD43" s="496"/>
      <c r="DE43" s="496"/>
      <c r="DF43" s="496"/>
      <c r="DG43" s="496"/>
      <c r="DH43" s="496"/>
      <c r="DI43" s="496"/>
      <c r="DJ43" s="496"/>
      <c r="DK43" s="496"/>
      <c r="DL43" s="496"/>
      <c r="DM43" s="381" t="s">
        <v>54</v>
      </c>
      <c r="DN43" s="487"/>
      <c r="DO43" s="381" t="s">
        <v>54</v>
      </c>
      <c r="DP43" s="385" t="s">
        <v>54</v>
      </c>
      <c r="DQ43" s="385" t="s">
        <v>54</v>
      </c>
      <c r="DR43" s="381" t="s">
        <v>54</v>
      </c>
      <c r="DS43" s="381" t="s">
        <v>54</v>
      </c>
      <c r="DT43" s="381" t="s">
        <v>54</v>
      </c>
      <c r="DU43" s="381" t="s">
        <v>54</v>
      </c>
      <c r="DV43" s="381" t="s">
        <v>54</v>
      </c>
      <c r="DW43" s="381" t="s">
        <v>54</v>
      </c>
      <c r="DX43" s="490"/>
      <c r="DY43" s="405" t="s">
        <v>54</v>
      </c>
      <c r="DZ43" s="490"/>
      <c r="EA43" s="405" t="s">
        <v>54</v>
      </c>
      <c r="EB43" s="405" t="s">
        <v>54</v>
      </c>
      <c r="EC43" s="405" t="s">
        <v>54</v>
      </c>
      <c r="ED43" s="381" t="s">
        <v>54</v>
      </c>
      <c r="EE43" s="381" t="s">
        <v>54</v>
      </c>
      <c r="EF43" s="381" t="s">
        <v>54</v>
      </c>
      <c r="EG43" s="381" t="s">
        <v>54</v>
      </c>
      <c r="EH43" s="381" t="s">
        <v>54</v>
      </c>
      <c r="EI43" s="381" t="s">
        <v>54</v>
      </c>
      <c r="EJ43" s="381" t="s">
        <v>54</v>
      </c>
      <c r="EK43" s="381" t="s">
        <v>54</v>
      </c>
      <c r="EL43" s="381" t="s">
        <v>54</v>
      </c>
      <c r="EM43" s="381" t="s">
        <v>54</v>
      </c>
      <c r="EN43" s="381" t="s">
        <v>54</v>
      </c>
      <c r="EO43" s="381" t="s">
        <v>54</v>
      </c>
      <c r="EP43" s="381" t="s">
        <v>54</v>
      </c>
      <c r="EQ43" s="381" t="s">
        <v>54</v>
      </c>
      <c r="ER43" s="381" t="s">
        <v>54</v>
      </c>
      <c r="ES43" s="381" t="s">
        <v>54</v>
      </c>
      <c r="ET43" s="381" t="s">
        <v>54</v>
      </c>
      <c r="EU43" s="381" t="s">
        <v>54</v>
      </c>
    </row>
    <row r="44" spans="1:151" s="1" customFormat="1" ht="19.899999999999999" customHeight="1">
      <c r="A44" s="493"/>
      <c r="B44" s="493"/>
      <c r="C44" s="487"/>
      <c r="D44" s="507"/>
      <c r="E44" s="507"/>
      <c r="F44" s="540"/>
      <c r="G44" s="514"/>
      <c r="H44" s="507"/>
      <c r="I44" s="540"/>
      <c r="J44" s="507"/>
      <c r="K44" s="493"/>
      <c r="L44" s="497"/>
      <c r="M44" s="493"/>
      <c r="N44" s="487"/>
      <c r="O44" s="514"/>
      <c r="P44" s="531"/>
      <c r="Q44" s="497"/>
      <c r="R44" s="2" t="s">
        <v>54</v>
      </c>
      <c r="S44" s="382" t="s">
        <v>54</v>
      </c>
      <c r="T44" s="371" t="s">
        <v>54</v>
      </c>
      <c r="U44" s="373" t="s">
        <v>54</v>
      </c>
      <c r="V44" s="2" t="s">
        <v>54</v>
      </c>
      <c r="W44" s="372" t="s">
        <v>54</v>
      </c>
      <c r="X44" s="490"/>
      <c r="Y44" s="372" t="s">
        <v>54</v>
      </c>
      <c r="Z44" s="521"/>
      <c r="AA44" s="383" t="s">
        <v>54</v>
      </c>
      <c r="AB44" s="493"/>
      <c r="AC44" s="2" t="s">
        <v>54</v>
      </c>
      <c r="AD44" s="497"/>
      <c r="AE44" s="405" t="s">
        <v>54</v>
      </c>
      <c r="AF44" s="372" t="s">
        <v>54</v>
      </c>
      <c r="AG44" s="372" t="s">
        <v>54</v>
      </c>
      <c r="AH44" s="372" t="s">
        <v>54</v>
      </c>
      <c r="AI44" s="372" t="s">
        <v>54</v>
      </c>
      <c r="AJ44" s="529"/>
      <c r="AK44" s="533"/>
      <c r="AL44" s="533"/>
      <c r="AM44" s="533"/>
      <c r="AN44" s="533"/>
      <c r="AO44" s="533"/>
      <c r="AP44" s="2" t="s">
        <v>54</v>
      </c>
      <c r="AQ44" s="546"/>
      <c r="AR44" s="2" t="s">
        <v>54</v>
      </c>
      <c r="AS44" s="366" t="s">
        <v>54</v>
      </c>
      <c r="AT44" s="366" t="s">
        <v>54</v>
      </c>
      <c r="AU44" s="2" t="s">
        <v>54</v>
      </c>
      <c r="AV44" s="2" t="s">
        <v>54</v>
      </c>
      <c r="AW44" s="2" t="s">
        <v>54</v>
      </c>
      <c r="AX44" s="2" t="s">
        <v>54</v>
      </c>
      <c r="AY44" s="380" t="s">
        <v>54</v>
      </c>
      <c r="AZ44" s="378" t="s">
        <v>54</v>
      </c>
      <c r="BA44" s="537"/>
      <c r="BB44" s="378" t="s">
        <v>54</v>
      </c>
      <c r="BC44" s="546"/>
      <c r="BD44" s="378" t="s">
        <v>54</v>
      </c>
      <c r="BE44" s="378" t="s">
        <v>54</v>
      </c>
      <c r="BF44" s="378" t="s">
        <v>54</v>
      </c>
      <c r="BG44" s="2" t="s">
        <v>54</v>
      </c>
      <c r="BH44" s="2" t="s">
        <v>54</v>
      </c>
      <c r="BI44" s="2" t="s">
        <v>54</v>
      </c>
      <c r="BJ44" s="2" t="s">
        <v>54</v>
      </c>
      <c r="BK44" s="371" t="s">
        <v>54</v>
      </c>
      <c r="BL44" s="2" t="s">
        <v>54</v>
      </c>
      <c r="BM44" s="2" t="s">
        <v>54</v>
      </c>
      <c r="BN44" s="2" t="s">
        <v>54</v>
      </c>
      <c r="BO44" s="2" t="s">
        <v>54</v>
      </c>
      <c r="BP44" s="2" t="s">
        <v>54</v>
      </c>
      <c r="BQ44" s="2" t="s">
        <v>54</v>
      </c>
      <c r="BR44" s="2" t="s">
        <v>54</v>
      </c>
      <c r="BS44" s="2" t="s">
        <v>54</v>
      </c>
      <c r="BT44" s="2" t="s">
        <v>54</v>
      </c>
      <c r="BU44" s="370" t="s">
        <v>54</v>
      </c>
      <c r="BV44" s="2" t="s">
        <v>54</v>
      </c>
      <c r="BW44" s="383" t="s">
        <v>54</v>
      </c>
      <c r="BX44" s="381" t="s">
        <v>54</v>
      </c>
      <c r="BY44" s="383" t="s">
        <v>54</v>
      </c>
      <c r="BZ44" s="381" t="s">
        <v>54</v>
      </c>
      <c r="CA44" s="383" t="s">
        <v>54</v>
      </c>
      <c r="CB44" s="2" t="s">
        <v>54</v>
      </c>
      <c r="CC44" s="2" t="s">
        <v>54</v>
      </c>
      <c r="CD44" s="2" t="s">
        <v>54</v>
      </c>
      <c r="CE44" s="370" t="s">
        <v>54</v>
      </c>
      <c r="CF44" s="2" t="s">
        <v>54</v>
      </c>
      <c r="CG44" s="383" t="s">
        <v>54</v>
      </c>
      <c r="CH44" s="383" t="s">
        <v>54</v>
      </c>
      <c r="CI44" s="383" t="s">
        <v>54</v>
      </c>
      <c r="CJ44" s="2" t="s">
        <v>54</v>
      </c>
      <c r="CK44" s="2" t="s">
        <v>54</v>
      </c>
      <c r="CL44" s="2" t="s">
        <v>54</v>
      </c>
      <c r="CM44" s="534"/>
      <c r="CN44" s="534"/>
      <c r="CO44" s="497"/>
      <c r="CP44" s="497"/>
      <c r="CQ44" s="497"/>
      <c r="CR44" s="497"/>
      <c r="CS44" s="497"/>
      <c r="CT44" s="497"/>
      <c r="CU44" s="497"/>
      <c r="CV44" s="497"/>
      <c r="CW44" s="497"/>
      <c r="CX44" s="497"/>
      <c r="CY44" s="497"/>
      <c r="CZ44" s="497"/>
      <c r="DA44" s="497"/>
      <c r="DB44" s="497"/>
      <c r="DC44" s="497"/>
      <c r="DD44" s="497"/>
      <c r="DE44" s="497"/>
      <c r="DF44" s="497"/>
      <c r="DG44" s="497"/>
      <c r="DH44" s="497"/>
      <c r="DI44" s="497"/>
      <c r="DJ44" s="497"/>
      <c r="DK44" s="497"/>
      <c r="DL44" s="497"/>
      <c r="DM44" s="381" t="s">
        <v>54</v>
      </c>
      <c r="DN44" s="487"/>
      <c r="DO44" s="381" t="s">
        <v>54</v>
      </c>
      <c r="DP44" s="385" t="s">
        <v>54</v>
      </c>
      <c r="DQ44" s="385" t="s">
        <v>54</v>
      </c>
      <c r="DR44" s="381" t="s">
        <v>54</v>
      </c>
      <c r="DS44" s="381" t="s">
        <v>54</v>
      </c>
      <c r="DT44" s="381" t="s">
        <v>54</v>
      </c>
      <c r="DU44" s="381" t="s">
        <v>54</v>
      </c>
      <c r="DV44" s="381" t="s">
        <v>54</v>
      </c>
      <c r="DW44" s="381" t="s">
        <v>54</v>
      </c>
      <c r="DX44" s="490"/>
      <c r="DY44" s="405" t="s">
        <v>54</v>
      </c>
      <c r="DZ44" s="490"/>
      <c r="EA44" s="405" t="s">
        <v>54</v>
      </c>
      <c r="EB44" s="405" t="s">
        <v>54</v>
      </c>
      <c r="EC44" s="405" t="s">
        <v>54</v>
      </c>
      <c r="ED44" s="381" t="s">
        <v>54</v>
      </c>
      <c r="EE44" s="381" t="s">
        <v>54</v>
      </c>
      <c r="EF44" s="381" t="s">
        <v>54</v>
      </c>
      <c r="EG44" s="381" t="s">
        <v>54</v>
      </c>
      <c r="EH44" s="381" t="s">
        <v>54</v>
      </c>
      <c r="EI44" s="381" t="s">
        <v>54</v>
      </c>
      <c r="EJ44" s="381" t="s">
        <v>54</v>
      </c>
      <c r="EK44" s="381" t="s">
        <v>54</v>
      </c>
      <c r="EL44" s="381" t="s">
        <v>54</v>
      </c>
      <c r="EM44" s="381" t="s">
        <v>54</v>
      </c>
      <c r="EN44" s="381" t="s">
        <v>54</v>
      </c>
      <c r="EO44" s="381" t="s">
        <v>54</v>
      </c>
      <c r="EP44" s="381" t="s">
        <v>54</v>
      </c>
      <c r="EQ44" s="381" t="s">
        <v>54</v>
      </c>
      <c r="ER44" s="381" t="s">
        <v>54</v>
      </c>
      <c r="ES44" s="381" t="s">
        <v>54</v>
      </c>
      <c r="ET44" s="381" t="s">
        <v>54</v>
      </c>
      <c r="EU44" s="381" t="s">
        <v>54</v>
      </c>
    </row>
    <row r="45" spans="1:151" s="1" customFormat="1" ht="19.899999999999999" customHeight="1">
      <c r="A45" s="494"/>
      <c r="B45" s="494"/>
      <c r="C45" s="488"/>
      <c r="D45" s="508"/>
      <c r="E45" s="508"/>
      <c r="F45" s="541"/>
      <c r="G45" s="515"/>
      <c r="H45" s="508"/>
      <c r="I45" s="541"/>
      <c r="J45" s="508"/>
      <c r="K45" s="494"/>
      <c r="L45" s="498"/>
      <c r="M45" s="494"/>
      <c r="N45" s="488"/>
      <c r="O45" s="515"/>
      <c r="P45" s="532"/>
      <c r="Q45" s="498"/>
      <c r="R45" s="2" t="s">
        <v>54</v>
      </c>
      <c r="S45" s="382" t="s">
        <v>52</v>
      </c>
      <c r="T45" s="371" t="s">
        <v>54</v>
      </c>
      <c r="U45" s="373" t="s">
        <v>54</v>
      </c>
      <c r="V45" s="2" t="s">
        <v>54</v>
      </c>
      <c r="W45" s="372" t="s">
        <v>54</v>
      </c>
      <c r="X45" s="490"/>
      <c r="Y45" s="372" t="s">
        <v>54</v>
      </c>
      <c r="Z45" s="521"/>
      <c r="AA45" s="383" t="s">
        <v>54</v>
      </c>
      <c r="AB45" s="494"/>
      <c r="AC45" s="2" t="s">
        <v>54</v>
      </c>
      <c r="AD45" s="498"/>
      <c r="AE45" s="405" t="s">
        <v>54</v>
      </c>
      <c r="AF45" s="372" t="s">
        <v>54</v>
      </c>
      <c r="AG45" s="372" t="s">
        <v>54</v>
      </c>
      <c r="AH45" s="372" t="s">
        <v>54</v>
      </c>
      <c r="AI45" s="372" t="s">
        <v>54</v>
      </c>
      <c r="AJ45" s="530"/>
      <c r="AK45" s="533"/>
      <c r="AL45" s="533"/>
      <c r="AM45" s="533"/>
      <c r="AN45" s="533"/>
      <c r="AO45" s="533"/>
      <c r="AP45" s="2" t="s">
        <v>54</v>
      </c>
      <c r="AQ45" s="547"/>
      <c r="AR45" s="2" t="s">
        <v>54</v>
      </c>
      <c r="AS45" s="366" t="s">
        <v>54</v>
      </c>
      <c r="AT45" s="366" t="s">
        <v>54</v>
      </c>
      <c r="AU45" s="2" t="s">
        <v>54</v>
      </c>
      <c r="AV45" s="2" t="s">
        <v>54</v>
      </c>
      <c r="AW45" s="2" t="s">
        <v>54</v>
      </c>
      <c r="AX45" s="2" t="s">
        <v>54</v>
      </c>
      <c r="AY45" s="380" t="s">
        <v>54</v>
      </c>
      <c r="AZ45" s="378" t="s">
        <v>54</v>
      </c>
      <c r="BA45" s="537"/>
      <c r="BB45" s="378" t="s">
        <v>54</v>
      </c>
      <c r="BC45" s="547"/>
      <c r="BD45" s="378" t="s">
        <v>54</v>
      </c>
      <c r="BE45" s="378" t="s">
        <v>54</v>
      </c>
      <c r="BF45" s="378" t="s">
        <v>54</v>
      </c>
      <c r="BG45" s="2" t="s">
        <v>54</v>
      </c>
      <c r="BH45" s="2" t="s">
        <v>54</v>
      </c>
      <c r="BI45" s="2" t="s">
        <v>54</v>
      </c>
      <c r="BJ45" s="2" t="s">
        <v>54</v>
      </c>
      <c r="BK45" s="371" t="s">
        <v>54</v>
      </c>
      <c r="BL45" s="2" t="s">
        <v>54</v>
      </c>
      <c r="BM45" s="2" t="s">
        <v>54</v>
      </c>
      <c r="BN45" s="2" t="s">
        <v>54</v>
      </c>
      <c r="BO45" s="2" t="s">
        <v>54</v>
      </c>
      <c r="BP45" s="2" t="s">
        <v>54</v>
      </c>
      <c r="BQ45" s="2" t="s">
        <v>54</v>
      </c>
      <c r="BR45" s="2" t="s">
        <v>54</v>
      </c>
      <c r="BS45" s="2" t="s">
        <v>54</v>
      </c>
      <c r="BT45" s="2" t="s">
        <v>54</v>
      </c>
      <c r="BU45" s="370" t="s">
        <v>54</v>
      </c>
      <c r="BV45" s="2" t="s">
        <v>54</v>
      </c>
      <c r="BW45" s="383" t="s">
        <v>54</v>
      </c>
      <c r="BX45" s="381" t="s">
        <v>54</v>
      </c>
      <c r="BY45" s="383" t="s">
        <v>54</v>
      </c>
      <c r="BZ45" s="381" t="s">
        <v>54</v>
      </c>
      <c r="CA45" s="383" t="s">
        <v>54</v>
      </c>
      <c r="CB45" s="2" t="s">
        <v>54</v>
      </c>
      <c r="CC45" s="2" t="s">
        <v>54</v>
      </c>
      <c r="CD45" s="2" t="s">
        <v>54</v>
      </c>
      <c r="CE45" s="370" t="s">
        <v>54</v>
      </c>
      <c r="CF45" s="2" t="s">
        <v>54</v>
      </c>
      <c r="CG45" s="383" t="s">
        <v>54</v>
      </c>
      <c r="CH45" s="383" t="s">
        <v>54</v>
      </c>
      <c r="CI45" s="383" t="s">
        <v>54</v>
      </c>
      <c r="CJ45" s="2" t="s">
        <v>54</v>
      </c>
      <c r="CK45" s="2" t="s">
        <v>54</v>
      </c>
      <c r="CL45" s="2" t="s">
        <v>54</v>
      </c>
      <c r="CM45" s="535"/>
      <c r="CN45" s="535"/>
      <c r="CO45" s="498"/>
      <c r="CP45" s="498"/>
      <c r="CQ45" s="498"/>
      <c r="CR45" s="498"/>
      <c r="CS45" s="498"/>
      <c r="CT45" s="498"/>
      <c r="CU45" s="498"/>
      <c r="CV45" s="498"/>
      <c r="CW45" s="498"/>
      <c r="CX45" s="498"/>
      <c r="CY45" s="498"/>
      <c r="CZ45" s="498"/>
      <c r="DA45" s="498"/>
      <c r="DB45" s="498"/>
      <c r="DC45" s="498"/>
      <c r="DD45" s="498"/>
      <c r="DE45" s="498"/>
      <c r="DF45" s="498"/>
      <c r="DG45" s="498"/>
      <c r="DH45" s="498"/>
      <c r="DI45" s="498"/>
      <c r="DJ45" s="498"/>
      <c r="DK45" s="498"/>
      <c r="DL45" s="498"/>
      <c r="DM45" s="381" t="s">
        <v>54</v>
      </c>
      <c r="DN45" s="488"/>
      <c r="DO45" s="381" t="s">
        <v>54</v>
      </c>
      <c r="DP45" s="385" t="s">
        <v>54</v>
      </c>
      <c r="DQ45" s="385" t="s">
        <v>54</v>
      </c>
      <c r="DR45" s="381" t="s">
        <v>54</v>
      </c>
      <c r="DS45" s="381" t="s">
        <v>54</v>
      </c>
      <c r="DT45" s="381" t="s">
        <v>54</v>
      </c>
      <c r="DU45" s="381" t="s">
        <v>54</v>
      </c>
      <c r="DV45" s="381" t="s">
        <v>54</v>
      </c>
      <c r="DW45" s="381" t="s">
        <v>54</v>
      </c>
      <c r="DX45" s="490"/>
      <c r="DY45" s="405" t="s">
        <v>54</v>
      </c>
      <c r="DZ45" s="490"/>
      <c r="EA45" s="405" t="s">
        <v>54</v>
      </c>
      <c r="EB45" s="405" t="s">
        <v>54</v>
      </c>
      <c r="EC45" s="405" t="s">
        <v>54</v>
      </c>
      <c r="ED45" s="381" t="s">
        <v>54</v>
      </c>
      <c r="EE45" s="381" t="s">
        <v>54</v>
      </c>
      <c r="EF45" s="381" t="s">
        <v>54</v>
      </c>
      <c r="EG45" s="381" t="s">
        <v>54</v>
      </c>
      <c r="EH45" s="381" t="s">
        <v>54</v>
      </c>
      <c r="EI45" s="381" t="s">
        <v>54</v>
      </c>
      <c r="EJ45" s="381" t="s">
        <v>54</v>
      </c>
      <c r="EK45" s="381" t="s">
        <v>54</v>
      </c>
      <c r="EL45" s="381" t="s">
        <v>54</v>
      </c>
      <c r="EM45" s="381" t="s">
        <v>54</v>
      </c>
      <c r="EN45" s="381" t="s">
        <v>54</v>
      </c>
      <c r="EO45" s="381" t="s">
        <v>54</v>
      </c>
      <c r="EP45" s="381" t="s">
        <v>54</v>
      </c>
      <c r="EQ45" s="381" t="s">
        <v>54</v>
      </c>
      <c r="ER45" s="381" t="s">
        <v>54</v>
      </c>
      <c r="ES45" s="381" t="s">
        <v>54</v>
      </c>
      <c r="ET45" s="381" t="s">
        <v>54</v>
      </c>
      <c r="EU45" s="381" t="s">
        <v>54</v>
      </c>
    </row>
    <row r="46" spans="1:151" s="1" customFormat="1" ht="19.899999999999999" customHeight="1">
      <c r="A46" s="491">
        <v>11</v>
      </c>
      <c r="B46" s="491">
        <v>16</v>
      </c>
      <c r="C46" s="486" t="s">
        <v>2797</v>
      </c>
      <c r="D46" s="495" t="s">
        <v>2699</v>
      </c>
      <c r="E46" s="548" t="s">
        <v>2671</v>
      </c>
      <c r="F46" s="553" t="s">
        <v>2683</v>
      </c>
      <c r="G46" s="512" t="s">
        <v>2912</v>
      </c>
      <c r="H46" s="495" t="s">
        <v>2700</v>
      </c>
      <c r="I46" s="549" t="s">
        <v>2913</v>
      </c>
      <c r="J46" s="491" t="s">
        <v>2713</v>
      </c>
      <c r="K46" s="516" t="s">
        <v>3113</v>
      </c>
      <c r="L46" s="495" t="s">
        <v>3133</v>
      </c>
      <c r="M46" s="491" t="s">
        <v>2891</v>
      </c>
      <c r="N46" s="486" t="s">
        <v>3133</v>
      </c>
      <c r="O46" s="512" t="s">
        <v>2890</v>
      </c>
      <c r="P46" s="517" t="s">
        <v>2922</v>
      </c>
      <c r="Q46" s="495">
        <v>2</v>
      </c>
      <c r="R46" s="2" t="s">
        <v>2727</v>
      </c>
      <c r="S46" s="382" t="s">
        <v>52</v>
      </c>
      <c r="T46" s="371" t="s">
        <v>2758</v>
      </c>
      <c r="U46" s="375">
        <f>98/(365/12)</f>
        <v>3.2219178082191782</v>
      </c>
      <c r="V46" s="2">
        <v>8.6999999999999993</v>
      </c>
      <c r="W46" s="372">
        <v>584</v>
      </c>
      <c r="X46" s="489">
        <v>873</v>
      </c>
      <c r="Y46" s="372">
        <v>69</v>
      </c>
      <c r="Z46" s="520">
        <v>68.668957617411223</v>
      </c>
      <c r="AA46" s="383">
        <v>584</v>
      </c>
      <c r="AB46" s="491">
        <v>873</v>
      </c>
      <c r="AC46" s="2">
        <v>584</v>
      </c>
      <c r="AD46" s="495">
        <f>AC46+AC47</f>
        <v>873</v>
      </c>
      <c r="AE46" s="404" t="s">
        <v>52</v>
      </c>
      <c r="AF46" s="372" t="s">
        <v>2765</v>
      </c>
      <c r="AG46" s="373" t="s">
        <v>2772</v>
      </c>
      <c r="AH46" s="387" t="s">
        <v>52</v>
      </c>
      <c r="AI46" s="387" t="s">
        <v>52</v>
      </c>
      <c r="AJ46" s="528" t="s">
        <v>2714</v>
      </c>
      <c r="AK46" s="533" t="s">
        <v>3324</v>
      </c>
      <c r="AL46" s="533">
        <v>873</v>
      </c>
      <c r="AM46" s="533">
        <v>873</v>
      </c>
      <c r="AN46" s="533" t="s">
        <v>2735</v>
      </c>
      <c r="AO46" s="533" t="s">
        <v>2745</v>
      </c>
      <c r="AP46" s="3">
        <v>584</v>
      </c>
      <c r="AQ46" s="543">
        <f t="shared" ref="AQ46" si="8">AP46+AP47</f>
        <v>873</v>
      </c>
      <c r="AR46" s="2">
        <v>13.1</v>
      </c>
      <c r="AS46" s="366">
        <v>12</v>
      </c>
      <c r="AT46" s="366">
        <v>14.1</v>
      </c>
      <c r="AU46" s="2">
        <v>0.91400000000000003</v>
      </c>
      <c r="AV46" s="2">
        <v>0.76200000000000001</v>
      </c>
      <c r="AW46" s="2">
        <v>1.097</v>
      </c>
      <c r="AX46" s="2">
        <v>0.16800000000000001</v>
      </c>
      <c r="AY46" s="380" t="s">
        <v>52</v>
      </c>
      <c r="AZ46" s="378" t="s">
        <v>52</v>
      </c>
      <c r="BA46" s="536" t="s">
        <v>2808</v>
      </c>
      <c r="BB46" s="377">
        <v>584</v>
      </c>
      <c r="BC46" s="543">
        <v>873</v>
      </c>
      <c r="BD46" s="377">
        <v>5.6</v>
      </c>
      <c r="BE46" s="377">
        <v>5.4</v>
      </c>
      <c r="BF46" s="377">
        <v>6.5</v>
      </c>
      <c r="BG46" s="3">
        <v>0.72499999999999998</v>
      </c>
      <c r="BH46" s="3">
        <v>0.59099999999999997</v>
      </c>
      <c r="BI46" s="3">
        <v>0.89</v>
      </c>
      <c r="BJ46" s="3" t="s">
        <v>2809</v>
      </c>
      <c r="BK46" s="406" t="s">
        <v>52</v>
      </c>
      <c r="BL46" s="2" t="s">
        <v>52</v>
      </c>
      <c r="BM46" s="2" t="s">
        <v>52</v>
      </c>
      <c r="BN46" s="2" t="s">
        <v>52</v>
      </c>
      <c r="BO46" s="2" t="s">
        <v>52</v>
      </c>
      <c r="BP46" s="2" t="s">
        <v>52</v>
      </c>
      <c r="BQ46" s="2" t="s">
        <v>52</v>
      </c>
      <c r="BR46" s="2" t="s">
        <v>52</v>
      </c>
      <c r="BS46" s="2" t="s">
        <v>52</v>
      </c>
      <c r="BT46" s="2" t="s">
        <v>52</v>
      </c>
      <c r="BU46" s="370">
        <v>584</v>
      </c>
      <c r="BV46" s="3">
        <v>35</v>
      </c>
      <c r="BW46" s="381" t="s">
        <v>2914</v>
      </c>
      <c r="BX46" s="381" t="s">
        <v>52</v>
      </c>
      <c r="BY46" s="383" t="s">
        <v>52</v>
      </c>
      <c r="BZ46" s="381" t="s">
        <v>52</v>
      </c>
      <c r="CA46" s="383" t="s">
        <v>52</v>
      </c>
      <c r="CB46" s="2" t="s">
        <v>3157</v>
      </c>
      <c r="CC46" s="2" t="s">
        <v>52</v>
      </c>
      <c r="CD46" s="2" t="s">
        <v>52</v>
      </c>
      <c r="CE46" s="370">
        <v>581</v>
      </c>
      <c r="CF46" s="2" t="s">
        <v>52</v>
      </c>
      <c r="CG46" s="383" t="s">
        <v>52</v>
      </c>
      <c r="CH46" s="383" t="s">
        <v>52</v>
      </c>
      <c r="CI46" s="384">
        <v>546</v>
      </c>
      <c r="CJ46" s="2" t="s">
        <v>52</v>
      </c>
      <c r="CK46" s="2">
        <v>57</v>
      </c>
      <c r="CL46" s="3" t="s">
        <v>2843</v>
      </c>
      <c r="CM46" s="528" t="s">
        <v>54</v>
      </c>
      <c r="CN46" s="528" t="s">
        <v>54</v>
      </c>
      <c r="CO46" s="495" t="s">
        <v>54</v>
      </c>
      <c r="CP46" s="495" t="s">
        <v>54</v>
      </c>
      <c r="CQ46" s="495" t="s">
        <v>54</v>
      </c>
      <c r="CR46" s="495" t="s">
        <v>54</v>
      </c>
      <c r="CS46" s="495" t="s">
        <v>54</v>
      </c>
      <c r="CT46" s="495" t="s">
        <v>54</v>
      </c>
      <c r="CU46" s="495" t="s">
        <v>54</v>
      </c>
      <c r="CV46" s="495" t="s">
        <v>54</v>
      </c>
      <c r="CW46" s="495" t="s">
        <v>54</v>
      </c>
      <c r="CX46" s="495" t="s">
        <v>54</v>
      </c>
      <c r="CY46" s="495" t="s">
        <v>54</v>
      </c>
      <c r="CZ46" s="495" t="s">
        <v>54</v>
      </c>
      <c r="DA46" s="495" t="s">
        <v>54</v>
      </c>
      <c r="DB46" s="495" t="s">
        <v>54</v>
      </c>
      <c r="DC46" s="495" t="s">
        <v>54</v>
      </c>
      <c r="DD46" s="495" t="s">
        <v>54</v>
      </c>
      <c r="DE46" s="495" t="s">
        <v>54</v>
      </c>
      <c r="DF46" s="495" t="s">
        <v>54</v>
      </c>
      <c r="DG46" s="495" t="s">
        <v>54</v>
      </c>
      <c r="DH46" s="495" t="s">
        <v>54</v>
      </c>
      <c r="DI46" s="495" t="s">
        <v>54</v>
      </c>
      <c r="DJ46" s="495" t="s">
        <v>54</v>
      </c>
      <c r="DK46" s="495" t="s">
        <v>54</v>
      </c>
      <c r="DL46" s="495" t="s">
        <v>54</v>
      </c>
      <c r="DM46" s="381" t="s">
        <v>54</v>
      </c>
      <c r="DN46" s="486" t="s">
        <v>54</v>
      </c>
      <c r="DO46" s="381" t="s">
        <v>54</v>
      </c>
      <c r="DP46" s="385" t="s">
        <v>54</v>
      </c>
      <c r="DQ46" s="385" t="s">
        <v>54</v>
      </c>
      <c r="DR46" s="381" t="s">
        <v>54</v>
      </c>
      <c r="DS46" s="381" t="s">
        <v>54</v>
      </c>
      <c r="DT46" s="381" t="s">
        <v>54</v>
      </c>
      <c r="DU46" s="381" t="s">
        <v>54</v>
      </c>
      <c r="DV46" s="381" t="s">
        <v>54</v>
      </c>
      <c r="DW46" s="381" t="s">
        <v>54</v>
      </c>
      <c r="DX46" s="489" t="s">
        <v>54</v>
      </c>
      <c r="DY46" s="405" t="s">
        <v>54</v>
      </c>
      <c r="DZ46" s="489" t="s">
        <v>54</v>
      </c>
      <c r="EA46" s="405" t="s">
        <v>54</v>
      </c>
      <c r="EB46" s="405" t="s">
        <v>54</v>
      </c>
      <c r="EC46" s="405" t="s">
        <v>54</v>
      </c>
      <c r="ED46" s="381" t="s">
        <v>54</v>
      </c>
      <c r="EE46" s="381" t="s">
        <v>54</v>
      </c>
      <c r="EF46" s="381" t="s">
        <v>54</v>
      </c>
      <c r="EG46" s="381" t="s">
        <v>54</v>
      </c>
      <c r="EH46" s="381" t="s">
        <v>54</v>
      </c>
      <c r="EI46" s="381" t="s">
        <v>54</v>
      </c>
      <c r="EJ46" s="381" t="s">
        <v>54</v>
      </c>
      <c r="EK46" s="381" t="s">
        <v>54</v>
      </c>
      <c r="EL46" s="381" t="s">
        <v>54</v>
      </c>
      <c r="EM46" s="381" t="s">
        <v>54</v>
      </c>
      <c r="EN46" s="381" t="s">
        <v>54</v>
      </c>
      <c r="EO46" s="381" t="s">
        <v>54</v>
      </c>
      <c r="EP46" s="381" t="s">
        <v>54</v>
      </c>
      <c r="EQ46" s="381" t="s">
        <v>54</v>
      </c>
      <c r="ER46" s="381" t="s">
        <v>54</v>
      </c>
      <c r="ES46" s="381" t="s">
        <v>54</v>
      </c>
      <c r="ET46" s="381" t="s">
        <v>54</v>
      </c>
      <c r="EU46" s="381" t="s">
        <v>54</v>
      </c>
    </row>
    <row r="47" spans="1:151" s="1" customFormat="1" ht="19.899999999999999" customHeight="1">
      <c r="A47" s="492"/>
      <c r="B47" s="492"/>
      <c r="C47" s="487"/>
      <c r="D47" s="506"/>
      <c r="E47" s="506"/>
      <c r="F47" s="554"/>
      <c r="G47" s="513"/>
      <c r="H47" s="506"/>
      <c r="I47" s="539"/>
      <c r="J47" s="509"/>
      <c r="K47" s="492"/>
      <c r="L47" s="496"/>
      <c r="M47" s="492"/>
      <c r="N47" s="487"/>
      <c r="O47" s="513"/>
      <c r="P47" s="531"/>
      <c r="Q47" s="496"/>
      <c r="R47" s="3" t="s">
        <v>2721</v>
      </c>
      <c r="S47" s="382" t="s">
        <v>52</v>
      </c>
      <c r="T47" s="371" t="s">
        <v>2758</v>
      </c>
      <c r="U47" s="375">
        <f>97/(365/12)</f>
        <v>3.1890410958904107</v>
      </c>
      <c r="V47" s="2">
        <v>8.6999999999999993</v>
      </c>
      <c r="W47" s="372">
        <v>289</v>
      </c>
      <c r="X47" s="490"/>
      <c r="Y47" s="372">
        <v>68</v>
      </c>
      <c r="Z47" s="521"/>
      <c r="AA47" s="383">
        <v>289</v>
      </c>
      <c r="AB47" s="492"/>
      <c r="AC47" s="2">
        <v>289</v>
      </c>
      <c r="AD47" s="496"/>
      <c r="AE47" s="404" t="s">
        <v>52</v>
      </c>
      <c r="AF47" s="372" t="s">
        <v>2766</v>
      </c>
      <c r="AG47" s="373" t="s">
        <v>2773</v>
      </c>
      <c r="AH47" s="387" t="s">
        <v>52</v>
      </c>
      <c r="AI47" s="387" t="s">
        <v>52</v>
      </c>
      <c r="AJ47" s="529"/>
      <c r="AK47" s="533"/>
      <c r="AL47" s="533"/>
      <c r="AM47" s="533"/>
      <c r="AN47" s="533"/>
      <c r="AO47" s="533"/>
      <c r="AP47" s="3">
        <v>289</v>
      </c>
      <c r="AQ47" s="546"/>
      <c r="AR47" s="2">
        <v>11.8</v>
      </c>
      <c r="AS47" s="366">
        <v>10.8</v>
      </c>
      <c r="AT47" s="366">
        <v>14.2</v>
      </c>
      <c r="AU47" s="2" t="s">
        <v>52</v>
      </c>
      <c r="AV47" s="2" t="s">
        <v>52</v>
      </c>
      <c r="AW47" s="2" t="s">
        <v>52</v>
      </c>
      <c r="AX47" s="2">
        <v>0.16800000000000001</v>
      </c>
      <c r="AY47" s="380" t="s">
        <v>52</v>
      </c>
      <c r="AZ47" s="378" t="s">
        <v>52</v>
      </c>
      <c r="BA47" s="537"/>
      <c r="BB47" s="377">
        <v>289</v>
      </c>
      <c r="BC47" s="546"/>
      <c r="BD47" s="377">
        <v>4.0999999999999996</v>
      </c>
      <c r="BE47" s="377">
        <v>3.6</v>
      </c>
      <c r="BF47" s="377">
        <v>5.6</v>
      </c>
      <c r="BG47" s="2" t="s">
        <v>52</v>
      </c>
      <c r="BH47" s="2" t="s">
        <v>52</v>
      </c>
      <c r="BI47" s="2" t="s">
        <v>52</v>
      </c>
      <c r="BJ47" s="3" t="s">
        <v>2809</v>
      </c>
      <c r="BK47" s="406" t="s">
        <v>52</v>
      </c>
      <c r="BL47" s="2" t="s">
        <v>52</v>
      </c>
      <c r="BM47" s="2" t="s">
        <v>52</v>
      </c>
      <c r="BN47" s="2" t="s">
        <v>52</v>
      </c>
      <c r="BO47" s="2" t="s">
        <v>52</v>
      </c>
      <c r="BP47" s="2" t="s">
        <v>52</v>
      </c>
      <c r="BQ47" s="2" t="s">
        <v>52</v>
      </c>
      <c r="BR47" s="2" t="s">
        <v>52</v>
      </c>
      <c r="BS47" s="2" t="s">
        <v>52</v>
      </c>
      <c r="BT47" s="2" t="s">
        <v>52</v>
      </c>
      <c r="BU47" s="370">
        <v>289</v>
      </c>
      <c r="BV47" s="3">
        <v>6</v>
      </c>
      <c r="BW47" s="381" t="s">
        <v>2915</v>
      </c>
      <c r="BX47" s="381" t="s">
        <v>52</v>
      </c>
      <c r="BY47" s="383" t="s">
        <v>52</v>
      </c>
      <c r="BZ47" s="381" t="s">
        <v>52</v>
      </c>
      <c r="CA47" s="383" t="s">
        <v>52</v>
      </c>
      <c r="CB47" s="2" t="s">
        <v>3158</v>
      </c>
      <c r="CC47" s="2" t="s">
        <v>52</v>
      </c>
      <c r="CD47" s="2" t="s">
        <v>52</v>
      </c>
      <c r="CE47" s="370">
        <v>285</v>
      </c>
      <c r="CF47" s="2" t="s">
        <v>52</v>
      </c>
      <c r="CG47" s="383" t="s">
        <v>52</v>
      </c>
      <c r="CH47" s="383" t="s">
        <v>52</v>
      </c>
      <c r="CI47" s="384">
        <v>177</v>
      </c>
      <c r="CJ47" s="2" t="s">
        <v>52</v>
      </c>
      <c r="CK47" s="2">
        <v>30</v>
      </c>
      <c r="CL47" s="3" t="s">
        <v>2844</v>
      </c>
      <c r="CM47" s="534"/>
      <c r="CN47" s="534"/>
      <c r="CO47" s="496"/>
      <c r="CP47" s="496"/>
      <c r="CQ47" s="496"/>
      <c r="CR47" s="496"/>
      <c r="CS47" s="496"/>
      <c r="CT47" s="496"/>
      <c r="CU47" s="496"/>
      <c r="CV47" s="496"/>
      <c r="CW47" s="496"/>
      <c r="CX47" s="496"/>
      <c r="CY47" s="496"/>
      <c r="CZ47" s="496"/>
      <c r="DA47" s="496"/>
      <c r="DB47" s="496"/>
      <c r="DC47" s="496"/>
      <c r="DD47" s="496"/>
      <c r="DE47" s="496"/>
      <c r="DF47" s="496"/>
      <c r="DG47" s="496"/>
      <c r="DH47" s="496"/>
      <c r="DI47" s="496"/>
      <c r="DJ47" s="496"/>
      <c r="DK47" s="496"/>
      <c r="DL47" s="496"/>
      <c r="DM47" s="381" t="s">
        <v>54</v>
      </c>
      <c r="DN47" s="487"/>
      <c r="DO47" s="381" t="s">
        <v>54</v>
      </c>
      <c r="DP47" s="385" t="s">
        <v>54</v>
      </c>
      <c r="DQ47" s="385" t="s">
        <v>54</v>
      </c>
      <c r="DR47" s="381" t="s">
        <v>54</v>
      </c>
      <c r="DS47" s="381" t="s">
        <v>54</v>
      </c>
      <c r="DT47" s="381" t="s">
        <v>54</v>
      </c>
      <c r="DU47" s="381" t="s">
        <v>54</v>
      </c>
      <c r="DV47" s="381" t="s">
        <v>54</v>
      </c>
      <c r="DW47" s="381" t="s">
        <v>54</v>
      </c>
      <c r="DX47" s="490"/>
      <c r="DY47" s="405" t="s">
        <v>54</v>
      </c>
      <c r="DZ47" s="490"/>
      <c r="EA47" s="405" t="s">
        <v>54</v>
      </c>
      <c r="EB47" s="405" t="s">
        <v>54</v>
      </c>
      <c r="EC47" s="405" t="s">
        <v>54</v>
      </c>
      <c r="ED47" s="381" t="s">
        <v>54</v>
      </c>
      <c r="EE47" s="381" t="s">
        <v>54</v>
      </c>
      <c r="EF47" s="381" t="s">
        <v>54</v>
      </c>
      <c r="EG47" s="381" t="s">
        <v>54</v>
      </c>
      <c r="EH47" s="381" t="s">
        <v>54</v>
      </c>
      <c r="EI47" s="381" t="s">
        <v>54</v>
      </c>
      <c r="EJ47" s="381" t="s">
        <v>54</v>
      </c>
      <c r="EK47" s="381" t="s">
        <v>54</v>
      </c>
      <c r="EL47" s="381" t="s">
        <v>54</v>
      </c>
      <c r="EM47" s="381" t="s">
        <v>54</v>
      </c>
      <c r="EN47" s="381" t="s">
        <v>54</v>
      </c>
      <c r="EO47" s="381" t="s">
        <v>54</v>
      </c>
      <c r="EP47" s="381" t="s">
        <v>54</v>
      </c>
      <c r="EQ47" s="381" t="s">
        <v>54</v>
      </c>
      <c r="ER47" s="381" t="s">
        <v>54</v>
      </c>
      <c r="ES47" s="381" t="s">
        <v>54</v>
      </c>
      <c r="ET47" s="381" t="s">
        <v>54</v>
      </c>
      <c r="EU47" s="381" t="s">
        <v>54</v>
      </c>
    </row>
    <row r="48" spans="1:151" s="1" customFormat="1" ht="19.899999999999999" customHeight="1">
      <c r="A48" s="493"/>
      <c r="B48" s="493"/>
      <c r="C48" s="487"/>
      <c r="D48" s="507"/>
      <c r="E48" s="507"/>
      <c r="F48" s="554"/>
      <c r="G48" s="514"/>
      <c r="H48" s="507"/>
      <c r="I48" s="540"/>
      <c r="J48" s="510"/>
      <c r="K48" s="493"/>
      <c r="L48" s="497"/>
      <c r="M48" s="493"/>
      <c r="N48" s="487"/>
      <c r="O48" s="514"/>
      <c r="P48" s="531"/>
      <c r="Q48" s="497"/>
      <c r="R48" s="2" t="s">
        <v>54</v>
      </c>
      <c r="S48" s="382" t="s">
        <v>54</v>
      </c>
      <c r="T48" s="371" t="s">
        <v>54</v>
      </c>
      <c r="U48" s="373" t="s">
        <v>54</v>
      </c>
      <c r="V48" s="2" t="s">
        <v>54</v>
      </c>
      <c r="W48" s="372" t="s">
        <v>54</v>
      </c>
      <c r="X48" s="490"/>
      <c r="Y48" s="372" t="s">
        <v>54</v>
      </c>
      <c r="Z48" s="521"/>
      <c r="AA48" s="383" t="s">
        <v>54</v>
      </c>
      <c r="AB48" s="493"/>
      <c r="AC48" s="2" t="s">
        <v>54</v>
      </c>
      <c r="AD48" s="497"/>
      <c r="AE48" s="405" t="s">
        <v>54</v>
      </c>
      <c r="AF48" s="372" t="s">
        <v>54</v>
      </c>
      <c r="AG48" s="372" t="s">
        <v>54</v>
      </c>
      <c r="AH48" s="372" t="s">
        <v>54</v>
      </c>
      <c r="AI48" s="372" t="s">
        <v>54</v>
      </c>
      <c r="AJ48" s="529"/>
      <c r="AK48" s="533"/>
      <c r="AL48" s="533"/>
      <c r="AM48" s="533"/>
      <c r="AN48" s="533"/>
      <c r="AO48" s="533"/>
      <c r="AP48" s="2" t="s">
        <v>54</v>
      </c>
      <c r="AQ48" s="546"/>
      <c r="AR48" s="2" t="s">
        <v>54</v>
      </c>
      <c r="AS48" s="366" t="s">
        <v>54</v>
      </c>
      <c r="AT48" s="366" t="s">
        <v>54</v>
      </c>
      <c r="AU48" s="2" t="s">
        <v>54</v>
      </c>
      <c r="AV48" s="2" t="s">
        <v>54</v>
      </c>
      <c r="AW48" s="2" t="s">
        <v>54</v>
      </c>
      <c r="AX48" s="2" t="s">
        <v>54</v>
      </c>
      <c r="AY48" s="380" t="s">
        <v>54</v>
      </c>
      <c r="AZ48" s="378" t="s">
        <v>54</v>
      </c>
      <c r="BA48" s="537"/>
      <c r="BB48" s="378" t="s">
        <v>54</v>
      </c>
      <c r="BC48" s="546"/>
      <c r="BD48" s="378" t="s">
        <v>54</v>
      </c>
      <c r="BE48" s="378" t="s">
        <v>54</v>
      </c>
      <c r="BF48" s="378" t="s">
        <v>54</v>
      </c>
      <c r="BG48" s="2" t="s">
        <v>54</v>
      </c>
      <c r="BH48" s="2" t="s">
        <v>54</v>
      </c>
      <c r="BI48" s="2" t="s">
        <v>54</v>
      </c>
      <c r="BJ48" s="2" t="s">
        <v>54</v>
      </c>
      <c r="BK48" s="371" t="s">
        <v>54</v>
      </c>
      <c r="BL48" s="2" t="s">
        <v>54</v>
      </c>
      <c r="BM48" s="2" t="s">
        <v>54</v>
      </c>
      <c r="BN48" s="2" t="s">
        <v>54</v>
      </c>
      <c r="BO48" s="2" t="s">
        <v>54</v>
      </c>
      <c r="BP48" s="2" t="s">
        <v>54</v>
      </c>
      <c r="BQ48" s="2" t="s">
        <v>54</v>
      </c>
      <c r="BR48" s="2" t="s">
        <v>54</v>
      </c>
      <c r="BS48" s="2" t="s">
        <v>54</v>
      </c>
      <c r="BT48" s="2" t="s">
        <v>54</v>
      </c>
      <c r="BU48" s="370" t="s">
        <v>54</v>
      </c>
      <c r="BV48" s="2" t="s">
        <v>54</v>
      </c>
      <c r="BW48" s="383" t="s">
        <v>54</v>
      </c>
      <c r="BX48" s="381" t="s">
        <v>54</v>
      </c>
      <c r="BY48" s="383" t="s">
        <v>54</v>
      </c>
      <c r="BZ48" s="381" t="s">
        <v>54</v>
      </c>
      <c r="CA48" s="383" t="s">
        <v>54</v>
      </c>
      <c r="CB48" s="2" t="s">
        <v>54</v>
      </c>
      <c r="CC48" s="2" t="s">
        <v>54</v>
      </c>
      <c r="CD48" s="2" t="s">
        <v>54</v>
      </c>
      <c r="CE48" s="370" t="s">
        <v>54</v>
      </c>
      <c r="CF48" s="2" t="s">
        <v>54</v>
      </c>
      <c r="CG48" s="383" t="s">
        <v>54</v>
      </c>
      <c r="CH48" s="383" t="s">
        <v>54</v>
      </c>
      <c r="CI48" s="383" t="s">
        <v>54</v>
      </c>
      <c r="CJ48" s="2" t="s">
        <v>54</v>
      </c>
      <c r="CK48" s="2" t="s">
        <v>54</v>
      </c>
      <c r="CL48" s="2" t="s">
        <v>54</v>
      </c>
      <c r="CM48" s="534"/>
      <c r="CN48" s="534"/>
      <c r="CO48" s="497"/>
      <c r="CP48" s="497"/>
      <c r="CQ48" s="497"/>
      <c r="CR48" s="497"/>
      <c r="CS48" s="497"/>
      <c r="CT48" s="497"/>
      <c r="CU48" s="497"/>
      <c r="CV48" s="497"/>
      <c r="CW48" s="497"/>
      <c r="CX48" s="497"/>
      <c r="CY48" s="497"/>
      <c r="CZ48" s="497"/>
      <c r="DA48" s="497"/>
      <c r="DB48" s="497"/>
      <c r="DC48" s="497"/>
      <c r="DD48" s="497"/>
      <c r="DE48" s="497"/>
      <c r="DF48" s="497"/>
      <c r="DG48" s="497"/>
      <c r="DH48" s="497"/>
      <c r="DI48" s="497"/>
      <c r="DJ48" s="497"/>
      <c r="DK48" s="497"/>
      <c r="DL48" s="497"/>
      <c r="DM48" s="381" t="s">
        <v>54</v>
      </c>
      <c r="DN48" s="487"/>
      <c r="DO48" s="381" t="s">
        <v>54</v>
      </c>
      <c r="DP48" s="385" t="s">
        <v>54</v>
      </c>
      <c r="DQ48" s="385" t="s">
        <v>54</v>
      </c>
      <c r="DR48" s="381" t="s">
        <v>54</v>
      </c>
      <c r="DS48" s="381" t="s">
        <v>54</v>
      </c>
      <c r="DT48" s="381" t="s">
        <v>54</v>
      </c>
      <c r="DU48" s="381" t="s">
        <v>54</v>
      </c>
      <c r="DV48" s="381" t="s">
        <v>54</v>
      </c>
      <c r="DW48" s="381" t="s">
        <v>54</v>
      </c>
      <c r="DX48" s="490"/>
      <c r="DY48" s="405" t="s">
        <v>54</v>
      </c>
      <c r="DZ48" s="490"/>
      <c r="EA48" s="405" t="s">
        <v>54</v>
      </c>
      <c r="EB48" s="405" t="s">
        <v>54</v>
      </c>
      <c r="EC48" s="405" t="s">
        <v>54</v>
      </c>
      <c r="ED48" s="381" t="s">
        <v>54</v>
      </c>
      <c r="EE48" s="381" t="s">
        <v>54</v>
      </c>
      <c r="EF48" s="381" t="s">
        <v>54</v>
      </c>
      <c r="EG48" s="381" t="s">
        <v>54</v>
      </c>
      <c r="EH48" s="381" t="s">
        <v>54</v>
      </c>
      <c r="EI48" s="381" t="s">
        <v>54</v>
      </c>
      <c r="EJ48" s="381" t="s">
        <v>54</v>
      </c>
      <c r="EK48" s="381" t="s">
        <v>54</v>
      </c>
      <c r="EL48" s="381" t="s">
        <v>54</v>
      </c>
      <c r="EM48" s="381" t="s">
        <v>54</v>
      </c>
      <c r="EN48" s="381" t="s">
        <v>54</v>
      </c>
      <c r="EO48" s="381" t="s">
        <v>54</v>
      </c>
      <c r="EP48" s="381" t="s">
        <v>54</v>
      </c>
      <c r="EQ48" s="381" t="s">
        <v>54</v>
      </c>
      <c r="ER48" s="381" t="s">
        <v>54</v>
      </c>
      <c r="ES48" s="381" t="s">
        <v>54</v>
      </c>
      <c r="ET48" s="381" t="s">
        <v>54</v>
      </c>
      <c r="EU48" s="381" t="s">
        <v>54</v>
      </c>
    </row>
    <row r="49" spans="1:151" s="1" customFormat="1" ht="19.899999999999999" customHeight="1">
      <c r="A49" s="494"/>
      <c r="B49" s="494"/>
      <c r="C49" s="488"/>
      <c r="D49" s="508"/>
      <c r="E49" s="508"/>
      <c r="F49" s="555"/>
      <c r="G49" s="515"/>
      <c r="H49" s="508"/>
      <c r="I49" s="541"/>
      <c r="J49" s="511"/>
      <c r="K49" s="494"/>
      <c r="L49" s="498"/>
      <c r="M49" s="494"/>
      <c r="N49" s="488"/>
      <c r="O49" s="515"/>
      <c r="P49" s="532"/>
      <c r="Q49" s="498"/>
      <c r="R49" s="2" t="s">
        <v>54</v>
      </c>
      <c r="S49" s="382" t="s">
        <v>52</v>
      </c>
      <c r="T49" s="371" t="s">
        <v>54</v>
      </c>
      <c r="U49" s="373" t="s">
        <v>54</v>
      </c>
      <c r="V49" s="2" t="s">
        <v>54</v>
      </c>
      <c r="W49" s="372" t="s">
        <v>54</v>
      </c>
      <c r="X49" s="490"/>
      <c r="Y49" s="372" t="s">
        <v>54</v>
      </c>
      <c r="Z49" s="521"/>
      <c r="AA49" s="383" t="s">
        <v>54</v>
      </c>
      <c r="AB49" s="494"/>
      <c r="AC49" s="2" t="s">
        <v>54</v>
      </c>
      <c r="AD49" s="498"/>
      <c r="AE49" s="405" t="s">
        <v>54</v>
      </c>
      <c r="AF49" s="372" t="s">
        <v>54</v>
      </c>
      <c r="AG49" s="372" t="s">
        <v>54</v>
      </c>
      <c r="AH49" s="372" t="s">
        <v>54</v>
      </c>
      <c r="AI49" s="372" t="s">
        <v>54</v>
      </c>
      <c r="AJ49" s="530"/>
      <c r="AK49" s="533"/>
      <c r="AL49" s="533"/>
      <c r="AM49" s="533"/>
      <c r="AN49" s="533"/>
      <c r="AO49" s="533"/>
      <c r="AP49" s="2" t="s">
        <v>54</v>
      </c>
      <c r="AQ49" s="547"/>
      <c r="AR49" s="2" t="s">
        <v>54</v>
      </c>
      <c r="AS49" s="366" t="s">
        <v>54</v>
      </c>
      <c r="AT49" s="366" t="s">
        <v>54</v>
      </c>
      <c r="AU49" s="2" t="s">
        <v>54</v>
      </c>
      <c r="AV49" s="2" t="s">
        <v>54</v>
      </c>
      <c r="AW49" s="2" t="s">
        <v>54</v>
      </c>
      <c r="AX49" s="2" t="s">
        <v>54</v>
      </c>
      <c r="AY49" s="380" t="s">
        <v>54</v>
      </c>
      <c r="AZ49" s="378" t="s">
        <v>54</v>
      </c>
      <c r="BA49" s="537"/>
      <c r="BB49" s="378" t="s">
        <v>54</v>
      </c>
      <c r="BC49" s="547"/>
      <c r="BD49" s="378" t="s">
        <v>54</v>
      </c>
      <c r="BE49" s="378" t="s">
        <v>54</v>
      </c>
      <c r="BF49" s="378" t="s">
        <v>54</v>
      </c>
      <c r="BG49" s="2" t="s">
        <v>54</v>
      </c>
      <c r="BH49" s="2" t="s">
        <v>54</v>
      </c>
      <c r="BI49" s="2" t="s">
        <v>54</v>
      </c>
      <c r="BJ49" s="2" t="s">
        <v>54</v>
      </c>
      <c r="BK49" s="407" t="s">
        <v>54</v>
      </c>
      <c r="BL49" s="2" t="s">
        <v>54</v>
      </c>
      <c r="BM49" s="2" t="s">
        <v>54</v>
      </c>
      <c r="BN49" s="2" t="s">
        <v>54</v>
      </c>
      <c r="BO49" s="2" t="s">
        <v>54</v>
      </c>
      <c r="BP49" s="2" t="s">
        <v>54</v>
      </c>
      <c r="BQ49" s="2" t="s">
        <v>54</v>
      </c>
      <c r="BR49" s="2" t="s">
        <v>54</v>
      </c>
      <c r="BS49" s="2" t="s">
        <v>54</v>
      </c>
      <c r="BT49" s="2" t="s">
        <v>54</v>
      </c>
      <c r="BU49" s="370" t="s">
        <v>54</v>
      </c>
      <c r="BV49" s="2" t="s">
        <v>54</v>
      </c>
      <c r="BW49" s="383" t="s">
        <v>54</v>
      </c>
      <c r="BX49" s="381" t="s">
        <v>54</v>
      </c>
      <c r="BY49" s="383" t="s">
        <v>54</v>
      </c>
      <c r="BZ49" s="381" t="s">
        <v>54</v>
      </c>
      <c r="CA49" s="383" t="s">
        <v>54</v>
      </c>
      <c r="CB49" s="2" t="s">
        <v>54</v>
      </c>
      <c r="CC49" s="2" t="s">
        <v>54</v>
      </c>
      <c r="CD49" s="2" t="s">
        <v>54</v>
      </c>
      <c r="CE49" s="370" t="s">
        <v>54</v>
      </c>
      <c r="CF49" s="2" t="s">
        <v>54</v>
      </c>
      <c r="CG49" s="383" t="s">
        <v>54</v>
      </c>
      <c r="CH49" s="383" t="s">
        <v>54</v>
      </c>
      <c r="CI49" s="383" t="s">
        <v>54</v>
      </c>
      <c r="CJ49" s="2" t="s">
        <v>54</v>
      </c>
      <c r="CK49" s="2" t="s">
        <v>54</v>
      </c>
      <c r="CL49" s="2" t="s">
        <v>54</v>
      </c>
      <c r="CM49" s="535"/>
      <c r="CN49" s="535"/>
      <c r="CO49" s="498"/>
      <c r="CP49" s="498"/>
      <c r="CQ49" s="498"/>
      <c r="CR49" s="498"/>
      <c r="CS49" s="498"/>
      <c r="CT49" s="498"/>
      <c r="CU49" s="498"/>
      <c r="CV49" s="498"/>
      <c r="CW49" s="498"/>
      <c r="CX49" s="498"/>
      <c r="CY49" s="498"/>
      <c r="CZ49" s="498"/>
      <c r="DA49" s="498"/>
      <c r="DB49" s="498"/>
      <c r="DC49" s="498"/>
      <c r="DD49" s="498"/>
      <c r="DE49" s="498"/>
      <c r="DF49" s="498"/>
      <c r="DG49" s="498"/>
      <c r="DH49" s="498"/>
      <c r="DI49" s="498"/>
      <c r="DJ49" s="498"/>
      <c r="DK49" s="498"/>
      <c r="DL49" s="498"/>
      <c r="DM49" s="381" t="s">
        <v>54</v>
      </c>
      <c r="DN49" s="488"/>
      <c r="DO49" s="381" t="s">
        <v>54</v>
      </c>
      <c r="DP49" s="385" t="s">
        <v>54</v>
      </c>
      <c r="DQ49" s="385" t="s">
        <v>54</v>
      </c>
      <c r="DR49" s="381" t="s">
        <v>54</v>
      </c>
      <c r="DS49" s="381" t="s">
        <v>54</v>
      </c>
      <c r="DT49" s="381" t="s">
        <v>54</v>
      </c>
      <c r="DU49" s="381" t="s">
        <v>54</v>
      </c>
      <c r="DV49" s="381" t="s">
        <v>54</v>
      </c>
      <c r="DW49" s="381" t="s">
        <v>54</v>
      </c>
      <c r="DX49" s="490"/>
      <c r="DY49" s="405" t="s">
        <v>54</v>
      </c>
      <c r="DZ49" s="490"/>
      <c r="EA49" s="405" t="s">
        <v>54</v>
      </c>
      <c r="EB49" s="405" t="s">
        <v>54</v>
      </c>
      <c r="EC49" s="405" t="s">
        <v>54</v>
      </c>
      <c r="ED49" s="381" t="s">
        <v>54</v>
      </c>
      <c r="EE49" s="381" t="s">
        <v>54</v>
      </c>
      <c r="EF49" s="381" t="s">
        <v>54</v>
      </c>
      <c r="EG49" s="381" t="s">
        <v>54</v>
      </c>
      <c r="EH49" s="381" t="s">
        <v>54</v>
      </c>
      <c r="EI49" s="381" t="s">
        <v>54</v>
      </c>
      <c r="EJ49" s="381" t="s">
        <v>54</v>
      </c>
      <c r="EK49" s="381" t="s">
        <v>54</v>
      </c>
      <c r="EL49" s="381" t="s">
        <v>54</v>
      </c>
      <c r="EM49" s="381" t="s">
        <v>54</v>
      </c>
      <c r="EN49" s="381" t="s">
        <v>54</v>
      </c>
      <c r="EO49" s="381" t="s">
        <v>54</v>
      </c>
      <c r="EP49" s="381" t="s">
        <v>54</v>
      </c>
      <c r="EQ49" s="381" t="s">
        <v>54</v>
      </c>
      <c r="ER49" s="381" t="s">
        <v>54</v>
      </c>
      <c r="ES49" s="381" t="s">
        <v>54</v>
      </c>
      <c r="ET49" s="381" t="s">
        <v>54</v>
      </c>
      <c r="EU49" s="381" t="s">
        <v>54</v>
      </c>
    </row>
    <row r="50" spans="1:151" s="1" customFormat="1" ht="19.5" customHeight="1">
      <c r="A50" s="491">
        <v>12</v>
      </c>
      <c r="B50" s="491">
        <v>17</v>
      </c>
      <c r="C50" s="486" t="s">
        <v>2797</v>
      </c>
      <c r="D50" s="491" t="s">
        <v>3091</v>
      </c>
      <c r="E50" s="548" t="s">
        <v>2671</v>
      </c>
      <c r="F50" s="538" t="s">
        <v>2677</v>
      </c>
      <c r="G50" s="512" t="s">
        <v>2710</v>
      </c>
      <c r="H50" s="495" t="s">
        <v>2694</v>
      </c>
      <c r="I50" s="538" t="s">
        <v>2678</v>
      </c>
      <c r="J50" s="495" t="s">
        <v>52</v>
      </c>
      <c r="K50" s="516" t="s">
        <v>3114</v>
      </c>
      <c r="L50" s="495" t="s">
        <v>3133</v>
      </c>
      <c r="M50" s="542" t="s">
        <v>2917</v>
      </c>
      <c r="N50" s="486" t="s">
        <v>3133</v>
      </c>
      <c r="O50" s="512" t="s">
        <v>2892</v>
      </c>
      <c r="P50" s="517" t="s">
        <v>2922</v>
      </c>
      <c r="Q50" s="495">
        <v>2</v>
      </c>
      <c r="R50" s="2" t="s">
        <v>2720</v>
      </c>
      <c r="S50" s="382" t="s">
        <v>52</v>
      </c>
      <c r="T50" s="371" t="s">
        <v>2757</v>
      </c>
      <c r="U50" s="387" t="s">
        <v>52</v>
      </c>
      <c r="V50" s="2">
        <v>12.9</v>
      </c>
      <c r="W50" s="372">
        <v>143</v>
      </c>
      <c r="X50" s="489">
        <v>214</v>
      </c>
      <c r="Y50" s="387" t="s">
        <v>52</v>
      </c>
      <c r="Z50" s="520" t="s">
        <v>52</v>
      </c>
      <c r="AA50" s="383">
        <v>143</v>
      </c>
      <c r="AB50" s="491">
        <v>214</v>
      </c>
      <c r="AC50" s="2">
        <v>131</v>
      </c>
      <c r="AD50" s="495">
        <f>AC50+AC51</f>
        <v>197</v>
      </c>
      <c r="AE50" s="405">
        <v>68.2</v>
      </c>
      <c r="AF50" s="372" t="s">
        <v>2763</v>
      </c>
      <c r="AG50" s="387" t="s">
        <v>52</v>
      </c>
      <c r="AH50" s="374">
        <v>799.95</v>
      </c>
      <c r="AI50" s="374">
        <v>3.8</v>
      </c>
      <c r="AJ50" s="528" t="s">
        <v>2714</v>
      </c>
      <c r="AK50" s="533" t="s">
        <v>3323</v>
      </c>
      <c r="AL50" s="533">
        <v>254</v>
      </c>
      <c r="AM50" s="533">
        <v>214</v>
      </c>
      <c r="AN50" s="533" t="s">
        <v>2734</v>
      </c>
      <c r="AO50" s="533" t="s">
        <v>2742</v>
      </c>
      <c r="AP50" s="3">
        <v>143</v>
      </c>
      <c r="AQ50" s="543">
        <f t="shared" ref="AQ50" si="9">AP50+AP51</f>
        <v>214</v>
      </c>
      <c r="AR50" s="2" t="s">
        <v>2799</v>
      </c>
      <c r="AS50" s="366">
        <v>17.13</v>
      </c>
      <c r="AT50" s="366" t="s">
        <v>2799</v>
      </c>
      <c r="AU50" s="2" t="s">
        <v>52</v>
      </c>
      <c r="AV50" s="2" t="s">
        <v>52</v>
      </c>
      <c r="AW50" s="2" t="s">
        <v>52</v>
      </c>
      <c r="AX50" s="2" t="s">
        <v>52</v>
      </c>
      <c r="AY50" s="2" t="s">
        <v>52</v>
      </c>
      <c r="AZ50" s="2" t="s">
        <v>52</v>
      </c>
      <c r="BA50" s="536" t="s">
        <v>2808</v>
      </c>
      <c r="BB50" s="378" t="s">
        <v>52</v>
      </c>
      <c r="BC50" s="543" t="s">
        <v>52</v>
      </c>
      <c r="BD50" s="378" t="s">
        <v>52</v>
      </c>
      <c r="BE50" s="388" t="s">
        <v>52</v>
      </c>
      <c r="BF50" s="388" t="s">
        <v>52</v>
      </c>
      <c r="BG50" s="388" t="s">
        <v>52</v>
      </c>
      <c r="BH50" s="388" t="s">
        <v>52</v>
      </c>
      <c r="BI50" s="388" t="s">
        <v>52</v>
      </c>
      <c r="BJ50" s="388" t="s">
        <v>52</v>
      </c>
      <c r="BK50" s="479" t="s">
        <v>2826</v>
      </c>
      <c r="BL50" s="370">
        <v>143</v>
      </c>
      <c r="BM50" s="2">
        <v>5.55</v>
      </c>
      <c r="BN50" s="2">
        <v>4.6399999999999997</v>
      </c>
      <c r="BO50" s="2">
        <v>6.48</v>
      </c>
      <c r="BP50" s="2" t="s">
        <v>52</v>
      </c>
      <c r="BQ50" s="2" t="s">
        <v>52</v>
      </c>
      <c r="BR50" s="2" t="s">
        <v>52</v>
      </c>
      <c r="BS50" s="2" t="s">
        <v>52</v>
      </c>
      <c r="BT50" s="480" t="s">
        <v>52</v>
      </c>
      <c r="BU50" s="370">
        <v>57</v>
      </c>
      <c r="BV50" s="3">
        <v>9</v>
      </c>
      <c r="BW50" s="383" t="s">
        <v>52</v>
      </c>
      <c r="BX50" s="381" t="s">
        <v>52</v>
      </c>
      <c r="BY50" s="383" t="s">
        <v>52</v>
      </c>
      <c r="BZ50" s="384">
        <v>9</v>
      </c>
      <c r="CA50" s="383" t="s">
        <v>52</v>
      </c>
      <c r="CB50" s="2" t="s">
        <v>2789</v>
      </c>
      <c r="CC50" s="2">
        <v>143</v>
      </c>
      <c r="CD50" s="2">
        <v>78</v>
      </c>
      <c r="CE50" s="370">
        <v>143</v>
      </c>
      <c r="CF50" s="3">
        <v>46</v>
      </c>
      <c r="CG50" s="383" t="s">
        <v>52</v>
      </c>
      <c r="CH50" s="384">
        <v>20</v>
      </c>
      <c r="CI50" s="384">
        <v>136</v>
      </c>
      <c r="CJ50" s="2">
        <v>143</v>
      </c>
      <c r="CK50" s="2">
        <v>32</v>
      </c>
      <c r="CL50" s="3" t="s">
        <v>2838</v>
      </c>
      <c r="CM50" s="528" t="s">
        <v>54</v>
      </c>
      <c r="CN50" s="528" t="s">
        <v>54</v>
      </c>
      <c r="CO50" s="495" t="s">
        <v>54</v>
      </c>
      <c r="CP50" s="495" t="s">
        <v>54</v>
      </c>
      <c r="CQ50" s="495" t="s">
        <v>54</v>
      </c>
      <c r="CR50" s="495" t="s">
        <v>54</v>
      </c>
      <c r="CS50" s="495" t="s">
        <v>54</v>
      </c>
      <c r="CT50" s="495" t="s">
        <v>54</v>
      </c>
      <c r="CU50" s="495" t="s">
        <v>54</v>
      </c>
      <c r="CV50" s="495" t="s">
        <v>54</v>
      </c>
      <c r="CW50" s="495" t="s">
        <v>54</v>
      </c>
      <c r="CX50" s="495" t="s">
        <v>54</v>
      </c>
      <c r="CY50" s="495" t="s">
        <v>54</v>
      </c>
      <c r="CZ50" s="495" t="s">
        <v>54</v>
      </c>
      <c r="DA50" s="495" t="s">
        <v>54</v>
      </c>
      <c r="DB50" s="495" t="s">
        <v>54</v>
      </c>
      <c r="DC50" s="495" t="s">
        <v>54</v>
      </c>
      <c r="DD50" s="495" t="s">
        <v>54</v>
      </c>
      <c r="DE50" s="495" t="s">
        <v>54</v>
      </c>
      <c r="DF50" s="495" t="s">
        <v>54</v>
      </c>
      <c r="DG50" s="495" t="s">
        <v>54</v>
      </c>
      <c r="DH50" s="495" t="s">
        <v>54</v>
      </c>
      <c r="DI50" s="495" t="s">
        <v>54</v>
      </c>
      <c r="DJ50" s="495" t="s">
        <v>54</v>
      </c>
      <c r="DK50" s="495" t="s">
        <v>54</v>
      </c>
      <c r="DL50" s="495" t="s">
        <v>54</v>
      </c>
      <c r="DM50" s="381" t="s">
        <v>54</v>
      </c>
      <c r="DN50" s="486" t="s">
        <v>54</v>
      </c>
      <c r="DO50" s="381" t="s">
        <v>54</v>
      </c>
      <c r="DP50" s="385" t="s">
        <v>54</v>
      </c>
      <c r="DQ50" s="385" t="s">
        <v>54</v>
      </c>
      <c r="DR50" s="381" t="s">
        <v>54</v>
      </c>
      <c r="DS50" s="381" t="s">
        <v>54</v>
      </c>
      <c r="DT50" s="381" t="s">
        <v>54</v>
      </c>
      <c r="DU50" s="381" t="s">
        <v>54</v>
      </c>
      <c r="DV50" s="381" t="s">
        <v>54</v>
      </c>
      <c r="DW50" s="381" t="s">
        <v>54</v>
      </c>
      <c r="DX50" s="489" t="s">
        <v>54</v>
      </c>
      <c r="DY50" s="405" t="s">
        <v>54</v>
      </c>
      <c r="DZ50" s="489" t="s">
        <v>54</v>
      </c>
      <c r="EA50" s="405" t="s">
        <v>54</v>
      </c>
      <c r="EB50" s="405" t="s">
        <v>54</v>
      </c>
      <c r="EC50" s="405" t="s">
        <v>54</v>
      </c>
      <c r="ED50" s="381" t="s">
        <v>54</v>
      </c>
      <c r="EE50" s="381" t="s">
        <v>54</v>
      </c>
      <c r="EF50" s="381" t="s">
        <v>54</v>
      </c>
      <c r="EG50" s="381" t="s">
        <v>54</v>
      </c>
      <c r="EH50" s="381" t="s">
        <v>54</v>
      </c>
      <c r="EI50" s="381" t="s">
        <v>54</v>
      </c>
      <c r="EJ50" s="381" t="s">
        <v>54</v>
      </c>
      <c r="EK50" s="381" t="s">
        <v>54</v>
      </c>
      <c r="EL50" s="381" t="s">
        <v>54</v>
      </c>
      <c r="EM50" s="381" t="s">
        <v>54</v>
      </c>
      <c r="EN50" s="381" t="s">
        <v>54</v>
      </c>
      <c r="EO50" s="381" t="s">
        <v>54</v>
      </c>
      <c r="EP50" s="381" t="s">
        <v>54</v>
      </c>
      <c r="EQ50" s="381" t="s">
        <v>54</v>
      </c>
      <c r="ER50" s="381" t="s">
        <v>54</v>
      </c>
      <c r="ES50" s="381" t="s">
        <v>54</v>
      </c>
      <c r="ET50" s="381" t="s">
        <v>54</v>
      </c>
      <c r="EU50" s="381" t="s">
        <v>54</v>
      </c>
    </row>
    <row r="51" spans="1:151" s="1" customFormat="1" ht="19.899999999999999" customHeight="1">
      <c r="A51" s="492"/>
      <c r="B51" s="492"/>
      <c r="C51" s="487"/>
      <c r="D51" s="509"/>
      <c r="E51" s="506"/>
      <c r="F51" s="539"/>
      <c r="G51" s="513"/>
      <c r="H51" s="506"/>
      <c r="I51" s="539"/>
      <c r="J51" s="506"/>
      <c r="K51" s="492"/>
      <c r="L51" s="496"/>
      <c r="M51" s="492"/>
      <c r="N51" s="487"/>
      <c r="O51" s="513"/>
      <c r="P51" s="531"/>
      <c r="Q51" s="496"/>
      <c r="R51" s="3" t="s">
        <v>2721</v>
      </c>
      <c r="S51" s="382" t="s">
        <v>52</v>
      </c>
      <c r="T51" s="371" t="s">
        <v>2757</v>
      </c>
      <c r="U51" s="387" t="s">
        <v>52</v>
      </c>
      <c r="V51" s="2">
        <v>12.9</v>
      </c>
      <c r="W51" s="372">
        <v>71</v>
      </c>
      <c r="X51" s="490"/>
      <c r="Y51" s="387" t="s">
        <v>52</v>
      </c>
      <c r="Z51" s="521"/>
      <c r="AA51" s="383">
        <v>71</v>
      </c>
      <c r="AB51" s="492"/>
      <c r="AC51" s="2">
        <v>66</v>
      </c>
      <c r="AD51" s="496"/>
      <c r="AE51" s="405">
        <v>67.7</v>
      </c>
      <c r="AF51" s="372" t="s">
        <v>2764</v>
      </c>
      <c r="AG51" s="387" t="s">
        <v>52</v>
      </c>
      <c r="AH51" s="374">
        <v>527.80999999999995</v>
      </c>
      <c r="AI51" s="374">
        <v>4.28</v>
      </c>
      <c r="AJ51" s="529"/>
      <c r="AK51" s="533"/>
      <c r="AL51" s="533"/>
      <c r="AM51" s="533"/>
      <c r="AN51" s="533"/>
      <c r="AO51" s="533"/>
      <c r="AP51" s="3">
        <v>71</v>
      </c>
      <c r="AQ51" s="546"/>
      <c r="AR51" s="2" t="s">
        <v>2799</v>
      </c>
      <c r="AS51" s="366">
        <v>12.2</v>
      </c>
      <c r="AT51" s="366" t="s">
        <v>2799</v>
      </c>
      <c r="AU51" s="2" t="s">
        <v>52</v>
      </c>
      <c r="AV51" s="2" t="s">
        <v>52</v>
      </c>
      <c r="AW51" s="2" t="s">
        <v>52</v>
      </c>
      <c r="AX51" s="2" t="s">
        <v>52</v>
      </c>
      <c r="AY51" s="2" t="s">
        <v>52</v>
      </c>
      <c r="AZ51" s="2" t="s">
        <v>52</v>
      </c>
      <c r="BA51" s="537"/>
      <c r="BB51" s="378" t="s">
        <v>52</v>
      </c>
      <c r="BC51" s="546"/>
      <c r="BD51" s="388" t="s">
        <v>52</v>
      </c>
      <c r="BE51" s="388" t="s">
        <v>52</v>
      </c>
      <c r="BF51" s="388" t="s">
        <v>52</v>
      </c>
      <c r="BG51" s="388" t="s">
        <v>52</v>
      </c>
      <c r="BH51" s="388" t="s">
        <v>52</v>
      </c>
      <c r="BI51" s="388" t="s">
        <v>52</v>
      </c>
      <c r="BJ51" s="388" t="s">
        <v>52</v>
      </c>
      <c r="BK51" s="479" t="s">
        <v>2826</v>
      </c>
      <c r="BL51" s="370">
        <v>71</v>
      </c>
      <c r="BM51" s="2">
        <v>2.76</v>
      </c>
      <c r="BN51" s="2">
        <v>1.02</v>
      </c>
      <c r="BO51" s="2">
        <v>3.72</v>
      </c>
      <c r="BP51" s="2" t="s">
        <v>52</v>
      </c>
      <c r="BQ51" s="2" t="s">
        <v>52</v>
      </c>
      <c r="BR51" s="2" t="s">
        <v>52</v>
      </c>
      <c r="BS51" s="2" t="s">
        <v>52</v>
      </c>
      <c r="BT51" s="480" t="s">
        <v>52</v>
      </c>
      <c r="BU51" s="370">
        <v>24</v>
      </c>
      <c r="BV51" s="3">
        <v>1</v>
      </c>
      <c r="BW51" s="383" t="s">
        <v>52</v>
      </c>
      <c r="BX51" s="381" t="s">
        <v>52</v>
      </c>
      <c r="BY51" s="383" t="s">
        <v>52</v>
      </c>
      <c r="BZ51" s="384">
        <v>1</v>
      </c>
      <c r="CA51" s="383" t="s">
        <v>52</v>
      </c>
      <c r="CB51" s="2" t="s">
        <v>2790</v>
      </c>
      <c r="CC51" s="2">
        <v>71</v>
      </c>
      <c r="CD51" s="2">
        <v>13</v>
      </c>
      <c r="CE51" s="370">
        <v>71</v>
      </c>
      <c r="CF51" s="3">
        <v>20</v>
      </c>
      <c r="CG51" s="383" t="s">
        <v>52</v>
      </c>
      <c r="CH51" s="384">
        <v>14</v>
      </c>
      <c r="CI51" s="384">
        <v>66</v>
      </c>
      <c r="CJ51" s="2">
        <v>71</v>
      </c>
      <c r="CK51" s="2">
        <v>24</v>
      </c>
      <c r="CL51" s="3" t="s">
        <v>2839</v>
      </c>
      <c r="CM51" s="534"/>
      <c r="CN51" s="534"/>
      <c r="CO51" s="496"/>
      <c r="CP51" s="496"/>
      <c r="CQ51" s="496"/>
      <c r="CR51" s="496"/>
      <c r="CS51" s="496"/>
      <c r="CT51" s="496"/>
      <c r="CU51" s="496"/>
      <c r="CV51" s="496"/>
      <c r="CW51" s="496"/>
      <c r="CX51" s="496"/>
      <c r="CY51" s="496"/>
      <c r="CZ51" s="496"/>
      <c r="DA51" s="496"/>
      <c r="DB51" s="496"/>
      <c r="DC51" s="496"/>
      <c r="DD51" s="496"/>
      <c r="DE51" s="496"/>
      <c r="DF51" s="496"/>
      <c r="DG51" s="496"/>
      <c r="DH51" s="496"/>
      <c r="DI51" s="496"/>
      <c r="DJ51" s="496"/>
      <c r="DK51" s="496"/>
      <c r="DL51" s="496"/>
      <c r="DM51" s="381" t="s">
        <v>54</v>
      </c>
      <c r="DN51" s="487"/>
      <c r="DO51" s="381" t="s">
        <v>54</v>
      </c>
      <c r="DP51" s="385" t="s">
        <v>54</v>
      </c>
      <c r="DQ51" s="385" t="s">
        <v>54</v>
      </c>
      <c r="DR51" s="381" t="s">
        <v>54</v>
      </c>
      <c r="DS51" s="381" t="s">
        <v>54</v>
      </c>
      <c r="DT51" s="381" t="s">
        <v>54</v>
      </c>
      <c r="DU51" s="381" t="s">
        <v>54</v>
      </c>
      <c r="DV51" s="381" t="s">
        <v>54</v>
      </c>
      <c r="DW51" s="381" t="s">
        <v>54</v>
      </c>
      <c r="DX51" s="490"/>
      <c r="DY51" s="405" t="s">
        <v>54</v>
      </c>
      <c r="DZ51" s="490"/>
      <c r="EA51" s="405" t="s">
        <v>54</v>
      </c>
      <c r="EB51" s="405" t="s">
        <v>54</v>
      </c>
      <c r="EC51" s="405" t="s">
        <v>54</v>
      </c>
      <c r="ED51" s="381" t="s">
        <v>54</v>
      </c>
      <c r="EE51" s="381" t="s">
        <v>54</v>
      </c>
      <c r="EF51" s="381" t="s">
        <v>54</v>
      </c>
      <c r="EG51" s="381" t="s">
        <v>54</v>
      </c>
      <c r="EH51" s="381" t="s">
        <v>54</v>
      </c>
      <c r="EI51" s="381" t="s">
        <v>54</v>
      </c>
      <c r="EJ51" s="381" t="s">
        <v>54</v>
      </c>
      <c r="EK51" s="381" t="s">
        <v>54</v>
      </c>
      <c r="EL51" s="381" t="s">
        <v>54</v>
      </c>
      <c r="EM51" s="381" t="s">
        <v>54</v>
      </c>
      <c r="EN51" s="381" t="s">
        <v>54</v>
      </c>
      <c r="EO51" s="381" t="s">
        <v>54</v>
      </c>
      <c r="EP51" s="381" t="s">
        <v>54</v>
      </c>
      <c r="EQ51" s="381" t="s">
        <v>54</v>
      </c>
      <c r="ER51" s="381" t="s">
        <v>54</v>
      </c>
      <c r="ES51" s="381" t="s">
        <v>54</v>
      </c>
      <c r="ET51" s="381" t="s">
        <v>54</v>
      </c>
      <c r="EU51" s="381" t="s">
        <v>54</v>
      </c>
    </row>
    <row r="52" spans="1:151" s="1" customFormat="1" ht="19.899999999999999" customHeight="1">
      <c r="A52" s="493"/>
      <c r="B52" s="493"/>
      <c r="C52" s="487"/>
      <c r="D52" s="510"/>
      <c r="E52" s="507"/>
      <c r="F52" s="540"/>
      <c r="G52" s="514"/>
      <c r="H52" s="507"/>
      <c r="I52" s="540"/>
      <c r="J52" s="507"/>
      <c r="K52" s="493"/>
      <c r="L52" s="497"/>
      <c r="M52" s="493"/>
      <c r="N52" s="487"/>
      <c r="O52" s="514"/>
      <c r="P52" s="531"/>
      <c r="Q52" s="497"/>
      <c r="R52" s="2" t="s">
        <v>54</v>
      </c>
      <c r="S52" s="382" t="s">
        <v>54</v>
      </c>
      <c r="T52" s="371" t="s">
        <v>54</v>
      </c>
      <c r="U52" s="373" t="s">
        <v>54</v>
      </c>
      <c r="V52" s="2" t="s">
        <v>54</v>
      </c>
      <c r="W52" s="372" t="s">
        <v>54</v>
      </c>
      <c r="X52" s="490"/>
      <c r="Y52" s="372" t="s">
        <v>54</v>
      </c>
      <c r="Z52" s="521"/>
      <c r="AA52" s="383" t="s">
        <v>54</v>
      </c>
      <c r="AB52" s="493"/>
      <c r="AC52" s="2" t="s">
        <v>54</v>
      </c>
      <c r="AD52" s="497"/>
      <c r="AE52" s="405" t="s">
        <v>54</v>
      </c>
      <c r="AF52" s="372" t="s">
        <v>54</v>
      </c>
      <c r="AG52" s="372" t="s">
        <v>54</v>
      </c>
      <c r="AH52" s="372" t="s">
        <v>54</v>
      </c>
      <c r="AI52" s="372" t="s">
        <v>54</v>
      </c>
      <c r="AJ52" s="529"/>
      <c r="AK52" s="533"/>
      <c r="AL52" s="533"/>
      <c r="AM52" s="533"/>
      <c r="AN52" s="533"/>
      <c r="AO52" s="533"/>
      <c r="AP52" s="2" t="s">
        <v>54</v>
      </c>
      <c r="AQ52" s="546"/>
      <c r="AR52" s="2" t="s">
        <v>54</v>
      </c>
      <c r="AS52" s="366" t="s">
        <v>54</v>
      </c>
      <c r="AT52" s="366" t="s">
        <v>54</v>
      </c>
      <c r="AU52" s="2" t="s">
        <v>54</v>
      </c>
      <c r="AV52" s="2" t="s">
        <v>54</v>
      </c>
      <c r="AW52" s="2" t="s">
        <v>54</v>
      </c>
      <c r="AX52" s="2" t="s">
        <v>54</v>
      </c>
      <c r="AY52" s="380" t="s">
        <v>54</v>
      </c>
      <c r="AZ52" s="378" t="s">
        <v>54</v>
      </c>
      <c r="BA52" s="537"/>
      <c r="BB52" s="378" t="s">
        <v>54</v>
      </c>
      <c r="BC52" s="546"/>
      <c r="BD52" s="378" t="s">
        <v>54</v>
      </c>
      <c r="BE52" s="378" t="s">
        <v>54</v>
      </c>
      <c r="BF52" s="378" t="s">
        <v>54</v>
      </c>
      <c r="BG52" s="2" t="s">
        <v>54</v>
      </c>
      <c r="BH52" s="2" t="s">
        <v>54</v>
      </c>
      <c r="BI52" s="2" t="s">
        <v>54</v>
      </c>
      <c r="BJ52" s="2" t="s">
        <v>54</v>
      </c>
      <c r="BK52" s="371" t="s">
        <v>54</v>
      </c>
      <c r="BL52" s="370" t="s">
        <v>54</v>
      </c>
      <c r="BM52" s="2" t="s">
        <v>54</v>
      </c>
      <c r="BN52" s="2" t="s">
        <v>54</v>
      </c>
      <c r="BO52" s="2" t="s">
        <v>54</v>
      </c>
      <c r="BP52" s="2" t="s">
        <v>54</v>
      </c>
      <c r="BQ52" s="2" t="s">
        <v>54</v>
      </c>
      <c r="BR52" s="2" t="s">
        <v>54</v>
      </c>
      <c r="BS52" s="2" t="s">
        <v>54</v>
      </c>
      <c r="BT52" s="371" t="s">
        <v>54</v>
      </c>
      <c r="BU52" s="370" t="s">
        <v>54</v>
      </c>
      <c r="BV52" s="2" t="s">
        <v>54</v>
      </c>
      <c r="BW52" s="383" t="s">
        <v>54</v>
      </c>
      <c r="BX52" s="381" t="s">
        <v>54</v>
      </c>
      <c r="BY52" s="383" t="s">
        <v>54</v>
      </c>
      <c r="BZ52" s="381" t="s">
        <v>54</v>
      </c>
      <c r="CA52" s="383" t="s">
        <v>54</v>
      </c>
      <c r="CB52" s="2" t="s">
        <v>54</v>
      </c>
      <c r="CC52" s="2" t="s">
        <v>54</v>
      </c>
      <c r="CD52" s="2" t="s">
        <v>54</v>
      </c>
      <c r="CE52" s="370" t="s">
        <v>54</v>
      </c>
      <c r="CF52" s="2" t="s">
        <v>54</v>
      </c>
      <c r="CG52" s="383" t="s">
        <v>54</v>
      </c>
      <c r="CH52" s="383" t="s">
        <v>54</v>
      </c>
      <c r="CI52" s="383" t="s">
        <v>54</v>
      </c>
      <c r="CJ52" s="2" t="s">
        <v>54</v>
      </c>
      <c r="CK52" s="2" t="s">
        <v>54</v>
      </c>
      <c r="CL52" s="2" t="s">
        <v>54</v>
      </c>
      <c r="CM52" s="534"/>
      <c r="CN52" s="534"/>
      <c r="CO52" s="497"/>
      <c r="CP52" s="497"/>
      <c r="CQ52" s="497"/>
      <c r="CR52" s="497"/>
      <c r="CS52" s="497"/>
      <c r="CT52" s="497"/>
      <c r="CU52" s="497"/>
      <c r="CV52" s="497"/>
      <c r="CW52" s="497"/>
      <c r="CX52" s="497"/>
      <c r="CY52" s="497"/>
      <c r="CZ52" s="497"/>
      <c r="DA52" s="497"/>
      <c r="DB52" s="497"/>
      <c r="DC52" s="497"/>
      <c r="DD52" s="497"/>
      <c r="DE52" s="497"/>
      <c r="DF52" s="497"/>
      <c r="DG52" s="497"/>
      <c r="DH52" s="497"/>
      <c r="DI52" s="497"/>
      <c r="DJ52" s="497"/>
      <c r="DK52" s="497"/>
      <c r="DL52" s="497"/>
      <c r="DM52" s="381" t="s">
        <v>54</v>
      </c>
      <c r="DN52" s="487"/>
      <c r="DO52" s="381" t="s">
        <v>54</v>
      </c>
      <c r="DP52" s="385" t="s">
        <v>54</v>
      </c>
      <c r="DQ52" s="385" t="s">
        <v>54</v>
      </c>
      <c r="DR52" s="381" t="s">
        <v>54</v>
      </c>
      <c r="DS52" s="381" t="s">
        <v>54</v>
      </c>
      <c r="DT52" s="381" t="s">
        <v>54</v>
      </c>
      <c r="DU52" s="381" t="s">
        <v>54</v>
      </c>
      <c r="DV52" s="381" t="s">
        <v>54</v>
      </c>
      <c r="DW52" s="381" t="s">
        <v>54</v>
      </c>
      <c r="DX52" s="490"/>
      <c r="DY52" s="405" t="s">
        <v>54</v>
      </c>
      <c r="DZ52" s="490"/>
      <c r="EA52" s="405" t="s">
        <v>54</v>
      </c>
      <c r="EB52" s="405" t="s">
        <v>54</v>
      </c>
      <c r="EC52" s="405" t="s">
        <v>54</v>
      </c>
      <c r="ED52" s="381" t="s">
        <v>54</v>
      </c>
      <c r="EE52" s="381" t="s">
        <v>54</v>
      </c>
      <c r="EF52" s="381" t="s">
        <v>54</v>
      </c>
      <c r="EG52" s="381" t="s">
        <v>54</v>
      </c>
      <c r="EH52" s="381" t="s">
        <v>54</v>
      </c>
      <c r="EI52" s="381" t="s">
        <v>54</v>
      </c>
      <c r="EJ52" s="381" t="s">
        <v>54</v>
      </c>
      <c r="EK52" s="381" t="s">
        <v>54</v>
      </c>
      <c r="EL52" s="381" t="s">
        <v>54</v>
      </c>
      <c r="EM52" s="381" t="s">
        <v>54</v>
      </c>
      <c r="EN52" s="381" t="s">
        <v>54</v>
      </c>
      <c r="EO52" s="381" t="s">
        <v>54</v>
      </c>
      <c r="EP52" s="381" t="s">
        <v>54</v>
      </c>
      <c r="EQ52" s="381" t="s">
        <v>54</v>
      </c>
      <c r="ER52" s="381" t="s">
        <v>54</v>
      </c>
      <c r="ES52" s="381" t="s">
        <v>54</v>
      </c>
      <c r="ET52" s="381" t="s">
        <v>54</v>
      </c>
      <c r="EU52" s="381" t="s">
        <v>54</v>
      </c>
    </row>
    <row r="53" spans="1:151" s="1" customFormat="1" ht="19.899999999999999" customHeight="1">
      <c r="A53" s="494"/>
      <c r="B53" s="494"/>
      <c r="C53" s="488"/>
      <c r="D53" s="511"/>
      <c r="E53" s="508"/>
      <c r="F53" s="541"/>
      <c r="G53" s="515"/>
      <c r="H53" s="508"/>
      <c r="I53" s="541"/>
      <c r="J53" s="508"/>
      <c r="K53" s="494"/>
      <c r="L53" s="498"/>
      <c r="M53" s="494"/>
      <c r="N53" s="488"/>
      <c r="O53" s="515"/>
      <c r="P53" s="532"/>
      <c r="Q53" s="498"/>
      <c r="R53" s="2" t="s">
        <v>54</v>
      </c>
      <c r="S53" s="382" t="s">
        <v>52</v>
      </c>
      <c r="T53" s="371" t="s">
        <v>54</v>
      </c>
      <c r="U53" s="373" t="s">
        <v>54</v>
      </c>
      <c r="V53" s="2" t="s">
        <v>54</v>
      </c>
      <c r="W53" s="372" t="s">
        <v>54</v>
      </c>
      <c r="X53" s="490"/>
      <c r="Y53" s="372" t="s">
        <v>54</v>
      </c>
      <c r="Z53" s="521"/>
      <c r="AA53" s="383" t="s">
        <v>54</v>
      </c>
      <c r="AB53" s="494"/>
      <c r="AC53" s="2" t="s">
        <v>54</v>
      </c>
      <c r="AD53" s="498"/>
      <c r="AE53" s="405" t="s">
        <v>54</v>
      </c>
      <c r="AF53" s="372" t="s">
        <v>54</v>
      </c>
      <c r="AG53" s="372" t="s">
        <v>54</v>
      </c>
      <c r="AH53" s="372" t="s">
        <v>54</v>
      </c>
      <c r="AI53" s="372" t="s">
        <v>54</v>
      </c>
      <c r="AJ53" s="530"/>
      <c r="AK53" s="533"/>
      <c r="AL53" s="533"/>
      <c r="AM53" s="533"/>
      <c r="AN53" s="533"/>
      <c r="AO53" s="533"/>
      <c r="AP53" s="2" t="s">
        <v>54</v>
      </c>
      <c r="AQ53" s="547"/>
      <c r="AR53" s="2" t="s">
        <v>54</v>
      </c>
      <c r="AS53" s="366" t="s">
        <v>54</v>
      </c>
      <c r="AT53" s="366" t="s">
        <v>54</v>
      </c>
      <c r="AU53" s="2" t="s">
        <v>54</v>
      </c>
      <c r="AV53" s="2" t="s">
        <v>54</v>
      </c>
      <c r="AW53" s="2" t="s">
        <v>54</v>
      </c>
      <c r="AX53" s="2" t="s">
        <v>54</v>
      </c>
      <c r="AY53" s="380" t="s">
        <v>54</v>
      </c>
      <c r="AZ53" s="378" t="s">
        <v>54</v>
      </c>
      <c r="BA53" s="537"/>
      <c r="BB53" s="378" t="s">
        <v>54</v>
      </c>
      <c r="BC53" s="547"/>
      <c r="BD53" s="378" t="s">
        <v>54</v>
      </c>
      <c r="BE53" s="378" t="s">
        <v>54</v>
      </c>
      <c r="BF53" s="378" t="s">
        <v>54</v>
      </c>
      <c r="BG53" s="2" t="s">
        <v>54</v>
      </c>
      <c r="BH53" s="2" t="s">
        <v>54</v>
      </c>
      <c r="BI53" s="2" t="s">
        <v>54</v>
      </c>
      <c r="BJ53" s="2" t="s">
        <v>54</v>
      </c>
      <c r="BK53" s="407" t="s">
        <v>54</v>
      </c>
      <c r="BL53" s="370" t="s">
        <v>54</v>
      </c>
      <c r="BM53" s="2" t="s">
        <v>54</v>
      </c>
      <c r="BN53" s="2" t="s">
        <v>54</v>
      </c>
      <c r="BO53" s="2" t="s">
        <v>54</v>
      </c>
      <c r="BP53" s="2" t="s">
        <v>54</v>
      </c>
      <c r="BQ53" s="2" t="s">
        <v>54</v>
      </c>
      <c r="BR53" s="2" t="s">
        <v>54</v>
      </c>
      <c r="BS53" s="2" t="s">
        <v>54</v>
      </c>
      <c r="BT53" s="371" t="s">
        <v>54</v>
      </c>
      <c r="BU53" s="370" t="s">
        <v>54</v>
      </c>
      <c r="BV53" s="2" t="s">
        <v>54</v>
      </c>
      <c r="BW53" s="383" t="s">
        <v>54</v>
      </c>
      <c r="BX53" s="381" t="s">
        <v>54</v>
      </c>
      <c r="BY53" s="383" t="s">
        <v>54</v>
      </c>
      <c r="BZ53" s="381" t="s">
        <v>54</v>
      </c>
      <c r="CA53" s="383" t="s">
        <v>54</v>
      </c>
      <c r="CB53" s="2" t="s">
        <v>54</v>
      </c>
      <c r="CC53" s="2" t="s">
        <v>54</v>
      </c>
      <c r="CD53" s="2" t="s">
        <v>54</v>
      </c>
      <c r="CE53" s="370" t="s">
        <v>54</v>
      </c>
      <c r="CF53" s="2" t="s">
        <v>54</v>
      </c>
      <c r="CG53" s="383" t="s">
        <v>54</v>
      </c>
      <c r="CH53" s="383" t="s">
        <v>54</v>
      </c>
      <c r="CI53" s="383" t="s">
        <v>54</v>
      </c>
      <c r="CJ53" s="2" t="s">
        <v>54</v>
      </c>
      <c r="CK53" s="2" t="s">
        <v>54</v>
      </c>
      <c r="CL53" s="2" t="s">
        <v>54</v>
      </c>
      <c r="CM53" s="535"/>
      <c r="CN53" s="535"/>
      <c r="CO53" s="498"/>
      <c r="CP53" s="498"/>
      <c r="CQ53" s="498"/>
      <c r="CR53" s="498"/>
      <c r="CS53" s="498"/>
      <c r="CT53" s="498"/>
      <c r="CU53" s="498"/>
      <c r="CV53" s="498"/>
      <c r="CW53" s="498"/>
      <c r="CX53" s="498"/>
      <c r="CY53" s="498"/>
      <c r="CZ53" s="498"/>
      <c r="DA53" s="498"/>
      <c r="DB53" s="498"/>
      <c r="DC53" s="498"/>
      <c r="DD53" s="498"/>
      <c r="DE53" s="498"/>
      <c r="DF53" s="498"/>
      <c r="DG53" s="498"/>
      <c r="DH53" s="498"/>
      <c r="DI53" s="498"/>
      <c r="DJ53" s="498"/>
      <c r="DK53" s="498"/>
      <c r="DL53" s="498"/>
      <c r="DM53" s="381" t="s">
        <v>54</v>
      </c>
      <c r="DN53" s="488"/>
      <c r="DO53" s="381" t="s">
        <v>54</v>
      </c>
      <c r="DP53" s="385" t="s">
        <v>54</v>
      </c>
      <c r="DQ53" s="385" t="s">
        <v>54</v>
      </c>
      <c r="DR53" s="381" t="s">
        <v>54</v>
      </c>
      <c r="DS53" s="381" t="s">
        <v>54</v>
      </c>
      <c r="DT53" s="381" t="s">
        <v>54</v>
      </c>
      <c r="DU53" s="381" t="s">
        <v>54</v>
      </c>
      <c r="DV53" s="381" t="s">
        <v>54</v>
      </c>
      <c r="DW53" s="381" t="s">
        <v>54</v>
      </c>
      <c r="DX53" s="490"/>
      <c r="DY53" s="405" t="s">
        <v>54</v>
      </c>
      <c r="DZ53" s="490"/>
      <c r="EA53" s="405" t="s">
        <v>54</v>
      </c>
      <c r="EB53" s="405" t="s">
        <v>54</v>
      </c>
      <c r="EC53" s="405" t="s">
        <v>54</v>
      </c>
      <c r="ED53" s="381" t="s">
        <v>54</v>
      </c>
      <c r="EE53" s="381" t="s">
        <v>54</v>
      </c>
      <c r="EF53" s="381" t="s">
        <v>54</v>
      </c>
      <c r="EG53" s="381" t="s">
        <v>54</v>
      </c>
      <c r="EH53" s="381" t="s">
        <v>54</v>
      </c>
      <c r="EI53" s="381" t="s">
        <v>54</v>
      </c>
      <c r="EJ53" s="381" t="s">
        <v>54</v>
      </c>
      <c r="EK53" s="381" t="s">
        <v>54</v>
      </c>
      <c r="EL53" s="381" t="s">
        <v>54</v>
      </c>
      <c r="EM53" s="381" t="s">
        <v>54</v>
      </c>
      <c r="EN53" s="381" t="s">
        <v>54</v>
      </c>
      <c r="EO53" s="381" t="s">
        <v>54</v>
      </c>
      <c r="EP53" s="381" t="s">
        <v>54</v>
      </c>
      <c r="EQ53" s="381" t="s">
        <v>54</v>
      </c>
      <c r="ER53" s="381" t="s">
        <v>54</v>
      </c>
      <c r="ES53" s="381" t="s">
        <v>54</v>
      </c>
      <c r="ET53" s="381" t="s">
        <v>54</v>
      </c>
      <c r="EU53" s="381" t="s">
        <v>54</v>
      </c>
    </row>
    <row r="54" spans="1:151" s="1" customFormat="1" ht="19.899999999999999" customHeight="1">
      <c r="A54" s="491">
        <v>13</v>
      </c>
      <c r="B54" s="491">
        <v>18</v>
      </c>
      <c r="C54" s="486" t="s">
        <v>2797</v>
      </c>
      <c r="D54" s="495" t="s">
        <v>2701</v>
      </c>
      <c r="E54" s="548" t="s">
        <v>2671</v>
      </c>
      <c r="F54" s="549" t="s">
        <v>2872</v>
      </c>
      <c r="G54" s="512" t="s">
        <v>2916</v>
      </c>
      <c r="H54" s="495" t="s">
        <v>2702</v>
      </c>
      <c r="I54" s="538" t="s">
        <v>2754</v>
      </c>
      <c r="J54" s="495" t="s">
        <v>2684</v>
      </c>
      <c r="K54" s="516" t="s">
        <v>3115</v>
      </c>
      <c r="L54" s="495" t="s">
        <v>3133</v>
      </c>
      <c r="M54" s="491" t="s">
        <v>2894</v>
      </c>
      <c r="N54" s="486" t="s">
        <v>3133</v>
      </c>
      <c r="O54" s="512" t="s">
        <v>2893</v>
      </c>
      <c r="P54" s="517" t="s">
        <v>2923</v>
      </c>
      <c r="Q54" s="495">
        <v>2</v>
      </c>
      <c r="R54" s="2" t="s">
        <v>3137</v>
      </c>
      <c r="S54" s="382" t="s">
        <v>52</v>
      </c>
      <c r="T54" s="371" t="s">
        <v>2753</v>
      </c>
      <c r="U54" s="387" t="s">
        <v>52</v>
      </c>
      <c r="V54" s="2">
        <v>36</v>
      </c>
      <c r="W54" s="372">
        <v>352</v>
      </c>
      <c r="X54" s="489">
        <v>526</v>
      </c>
      <c r="Y54" s="372">
        <v>68</v>
      </c>
      <c r="Z54" s="520">
        <v>68.330798479087449</v>
      </c>
      <c r="AA54" s="383">
        <v>352</v>
      </c>
      <c r="AB54" s="491">
        <v>526</v>
      </c>
      <c r="AC54" s="2">
        <v>318</v>
      </c>
      <c r="AD54" s="495">
        <f>AC54+AC55</f>
        <v>464</v>
      </c>
      <c r="AE54" s="404" t="s">
        <v>52</v>
      </c>
      <c r="AF54" s="387" t="s">
        <v>52</v>
      </c>
      <c r="AG54" s="387" t="s">
        <v>52</v>
      </c>
      <c r="AH54" s="373">
        <v>199</v>
      </c>
      <c r="AI54" s="373">
        <v>65</v>
      </c>
      <c r="AJ54" s="528" t="s">
        <v>2714</v>
      </c>
      <c r="AK54" s="533" t="s">
        <v>3325</v>
      </c>
      <c r="AL54" s="533">
        <v>921</v>
      </c>
      <c r="AM54" s="533" t="s">
        <v>2736</v>
      </c>
      <c r="AN54" s="533" t="s">
        <v>2737</v>
      </c>
      <c r="AO54" s="533" t="s">
        <v>2746</v>
      </c>
      <c r="AP54" s="3">
        <v>352</v>
      </c>
      <c r="AQ54" s="543">
        <f t="shared" ref="AQ54" si="10">AP54+AP55</f>
        <v>526</v>
      </c>
      <c r="AR54" s="2" t="s">
        <v>2800</v>
      </c>
      <c r="AS54" s="366">
        <v>12.5</v>
      </c>
      <c r="AT54" s="366">
        <v>15.5</v>
      </c>
      <c r="AU54" s="2" t="s">
        <v>52</v>
      </c>
      <c r="AV54" s="2" t="s">
        <v>52</v>
      </c>
      <c r="AW54" s="2" t="s">
        <v>52</v>
      </c>
      <c r="AX54" s="2" t="s">
        <v>52</v>
      </c>
      <c r="AY54" s="2" t="s">
        <v>52</v>
      </c>
      <c r="AZ54" s="2" t="s">
        <v>52</v>
      </c>
      <c r="BA54" s="536" t="s">
        <v>2808</v>
      </c>
      <c r="BB54" s="378" t="s">
        <v>52</v>
      </c>
      <c r="BC54" s="543" t="s">
        <v>52</v>
      </c>
      <c r="BD54" s="378" t="s">
        <v>52</v>
      </c>
      <c r="BE54" s="388" t="s">
        <v>52</v>
      </c>
      <c r="BF54" s="388" t="s">
        <v>52</v>
      </c>
      <c r="BG54" s="388" t="s">
        <v>52</v>
      </c>
      <c r="BH54" s="388" t="s">
        <v>52</v>
      </c>
      <c r="BI54" s="388" t="s">
        <v>52</v>
      </c>
      <c r="BJ54" s="388" t="s">
        <v>52</v>
      </c>
      <c r="BK54" s="479" t="s">
        <v>3159</v>
      </c>
      <c r="BL54" s="370">
        <v>352</v>
      </c>
      <c r="BM54" s="2" t="s">
        <v>2827</v>
      </c>
      <c r="BN54" s="2">
        <v>3.4</v>
      </c>
      <c r="BO54" s="2">
        <v>3.6</v>
      </c>
      <c r="BP54" s="2" t="s">
        <v>52</v>
      </c>
      <c r="BQ54" s="2" t="s">
        <v>52</v>
      </c>
      <c r="BR54" s="2" t="s">
        <v>52</v>
      </c>
      <c r="BS54" s="2" t="s">
        <v>52</v>
      </c>
      <c r="BT54" s="480" t="s">
        <v>52</v>
      </c>
      <c r="BU54" s="370" t="s">
        <v>52</v>
      </c>
      <c r="BV54" s="370" t="s">
        <v>52</v>
      </c>
      <c r="BW54" s="383" t="s">
        <v>52</v>
      </c>
      <c r="BX54" s="383" t="s">
        <v>52</v>
      </c>
      <c r="BY54" s="383" t="s">
        <v>52</v>
      </c>
      <c r="BZ54" s="383" t="s">
        <v>52</v>
      </c>
      <c r="CA54" s="383" t="s">
        <v>52</v>
      </c>
      <c r="CB54" s="370" t="s">
        <v>52</v>
      </c>
      <c r="CC54" s="2">
        <v>352</v>
      </c>
      <c r="CD54" s="2">
        <v>239</v>
      </c>
      <c r="CE54" s="370">
        <v>347</v>
      </c>
      <c r="CF54" s="3">
        <v>164</v>
      </c>
      <c r="CG54" s="383" t="s">
        <v>52</v>
      </c>
      <c r="CH54" s="383" t="s">
        <v>52</v>
      </c>
      <c r="CI54" s="384">
        <v>330</v>
      </c>
      <c r="CJ54" s="2" t="s">
        <v>52</v>
      </c>
      <c r="CK54" s="2" t="s">
        <v>52</v>
      </c>
      <c r="CL54" s="3" t="s">
        <v>2845</v>
      </c>
      <c r="CM54" s="528" t="s">
        <v>54</v>
      </c>
      <c r="CN54" s="528" t="s">
        <v>54</v>
      </c>
      <c r="CO54" s="495" t="s">
        <v>54</v>
      </c>
      <c r="CP54" s="495" t="s">
        <v>54</v>
      </c>
      <c r="CQ54" s="495" t="s">
        <v>54</v>
      </c>
      <c r="CR54" s="495" t="s">
        <v>54</v>
      </c>
      <c r="CS54" s="495" t="s">
        <v>54</v>
      </c>
      <c r="CT54" s="495" t="s">
        <v>54</v>
      </c>
      <c r="CU54" s="495" t="s">
        <v>54</v>
      </c>
      <c r="CV54" s="495" t="s">
        <v>54</v>
      </c>
      <c r="CW54" s="495" t="s">
        <v>54</v>
      </c>
      <c r="CX54" s="495" t="s">
        <v>54</v>
      </c>
      <c r="CY54" s="495" t="s">
        <v>54</v>
      </c>
      <c r="CZ54" s="495" t="s">
        <v>54</v>
      </c>
      <c r="DA54" s="495" t="s">
        <v>54</v>
      </c>
      <c r="DB54" s="495" t="s">
        <v>54</v>
      </c>
      <c r="DC54" s="495" t="s">
        <v>54</v>
      </c>
      <c r="DD54" s="495" t="s">
        <v>54</v>
      </c>
      <c r="DE54" s="495" t="s">
        <v>54</v>
      </c>
      <c r="DF54" s="495" t="s">
        <v>54</v>
      </c>
      <c r="DG54" s="495" t="s">
        <v>54</v>
      </c>
      <c r="DH54" s="495" t="s">
        <v>54</v>
      </c>
      <c r="DI54" s="495" t="s">
        <v>54</v>
      </c>
      <c r="DJ54" s="495" t="s">
        <v>54</v>
      </c>
      <c r="DK54" s="495" t="s">
        <v>54</v>
      </c>
      <c r="DL54" s="495" t="s">
        <v>54</v>
      </c>
      <c r="DM54" s="381" t="s">
        <v>54</v>
      </c>
      <c r="DN54" s="486" t="s">
        <v>54</v>
      </c>
      <c r="DO54" s="381" t="s">
        <v>54</v>
      </c>
      <c r="DP54" s="385" t="s">
        <v>54</v>
      </c>
      <c r="DQ54" s="385" t="s">
        <v>54</v>
      </c>
      <c r="DR54" s="381" t="s">
        <v>54</v>
      </c>
      <c r="DS54" s="381" t="s">
        <v>54</v>
      </c>
      <c r="DT54" s="381" t="s">
        <v>54</v>
      </c>
      <c r="DU54" s="381" t="s">
        <v>54</v>
      </c>
      <c r="DV54" s="381" t="s">
        <v>54</v>
      </c>
      <c r="DW54" s="381" t="s">
        <v>54</v>
      </c>
      <c r="DX54" s="489" t="s">
        <v>54</v>
      </c>
      <c r="DY54" s="405" t="s">
        <v>54</v>
      </c>
      <c r="DZ54" s="489" t="s">
        <v>54</v>
      </c>
      <c r="EA54" s="405" t="s">
        <v>54</v>
      </c>
      <c r="EB54" s="405" t="s">
        <v>54</v>
      </c>
      <c r="EC54" s="405" t="s">
        <v>54</v>
      </c>
      <c r="ED54" s="381" t="s">
        <v>54</v>
      </c>
      <c r="EE54" s="381" t="s">
        <v>54</v>
      </c>
      <c r="EF54" s="381" t="s">
        <v>54</v>
      </c>
      <c r="EG54" s="381" t="s">
        <v>54</v>
      </c>
      <c r="EH54" s="381" t="s">
        <v>54</v>
      </c>
      <c r="EI54" s="381" t="s">
        <v>54</v>
      </c>
      <c r="EJ54" s="381" t="s">
        <v>54</v>
      </c>
      <c r="EK54" s="381" t="s">
        <v>54</v>
      </c>
      <c r="EL54" s="381" t="s">
        <v>54</v>
      </c>
      <c r="EM54" s="381" t="s">
        <v>54</v>
      </c>
      <c r="EN54" s="381" t="s">
        <v>54</v>
      </c>
      <c r="EO54" s="381" t="s">
        <v>54</v>
      </c>
      <c r="EP54" s="381" t="s">
        <v>54</v>
      </c>
      <c r="EQ54" s="381" t="s">
        <v>54</v>
      </c>
      <c r="ER54" s="381" t="s">
        <v>54</v>
      </c>
      <c r="ES54" s="381" t="s">
        <v>54</v>
      </c>
      <c r="ET54" s="381" t="s">
        <v>54</v>
      </c>
      <c r="EU54" s="381" t="s">
        <v>54</v>
      </c>
    </row>
    <row r="55" spans="1:151" s="1" customFormat="1" ht="19.899999999999999" customHeight="1">
      <c r="A55" s="492"/>
      <c r="B55" s="492"/>
      <c r="C55" s="487"/>
      <c r="D55" s="506"/>
      <c r="E55" s="506"/>
      <c r="F55" s="539"/>
      <c r="G55" s="513"/>
      <c r="H55" s="506"/>
      <c r="I55" s="539"/>
      <c r="J55" s="506"/>
      <c r="K55" s="492"/>
      <c r="L55" s="496"/>
      <c r="M55" s="492"/>
      <c r="N55" s="487"/>
      <c r="O55" s="513"/>
      <c r="P55" s="531"/>
      <c r="Q55" s="496"/>
      <c r="R55" s="2" t="s">
        <v>3138</v>
      </c>
      <c r="S55" s="382" t="s">
        <v>52</v>
      </c>
      <c r="T55" s="371" t="s">
        <v>2753</v>
      </c>
      <c r="U55" s="387" t="s">
        <v>52</v>
      </c>
      <c r="V55" s="2">
        <v>36</v>
      </c>
      <c r="W55" s="372">
        <v>174</v>
      </c>
      <c r="X55" s="490"/>
      <c r="Y55" s="372">
        <v>69</v>
      </c>
      <c r="Z55" s="521"/>
      <c r="AA55" s="383">
        <v>174</v>
      </c>
      <c r="AB55" s="492"/>
      <c r="AC55" s="2">
        <v>146</v>
      </c>
      <c r="AD55" s="496"/>
      <c r="AE55" s="404" t="s">
        <v>52</v>
      </c>
      <c r="AF55" s="387" t="s">
        <v>52</v>
      </c>
      <c r="AG55" s="387" t="s">
        <v>52</v>
      </c>
      <c r="AH55" s="373">
        <v>244</v>
      </c>
      <c r="AI55" s="373">
        <v>61</v>
      </c>
      <c r="AJ55" s="529"/>
      <c r="AK55" s="533"/>
      <c r="AL55" s="533"/>
      <c r="AM55" s="533"/>
      <c r="AN55" s="533"/>
      <c r="AO55" s="533"/>
      <c r="AP55" s="3">
        <v>174</v>
      </c>
      <c r="AQ55" s="546"/>
      <c r="AR55" s="2" t="s">
        <v>2801</v>
      </c>
      <c r="AS55" s="366">
        <v>10</v>
      </c>
      <c r="AT55" s="366">
        <v>12.9</v>
      </c>
      <c r="AU55" s="2" t="s">
        <v>52</v>
      </c>
      <c r="AV55" s="2" t="s">
        <v>52</v>
      </c>
      <c r="AW55" s="2" t="s">
        <v>52</v>
      </c>
      <c r="AX55" s="2" t="s">
        <v>52</v>
      </c>
      <c r="AY55" s="2" t="s">
        <v>52</v>
      </c>
      <c r="AZ55" s="2" t="s">
        <v>52</v>
      </c>
      <c r="BA55" s="537"/>
      <c r="BB55" s="378" t="s">
        <v>52</v>
      </c>
      <c r="BC55" s="546"/>
      <c r="BD55" s="388" t="s">
        <v>52</v>
      </c>
      <c r="BE55" s="388" t="s">
        <v>52</v>
      </c>
      <c r="BF55" s="388" t="s">
        <v>52</v>
      </c>
      <c r="BG55" s="388" t="s">
        <v>52</v>
      </c>
      <c r="BH55" s="388" t="s">
        <v>52</v>
      </c>
      <c r="BI55" s="388" t="s">
        <v>52</v>
      </c>
      <c r="BJ55" s="388" t="s">
        <v>52</v>
      </c>
      <c r="BK55" s="479" t="s">
        <v>3159</v>
      </c>
      <c r="BL55" s="370">
        <v>174</v>
      </c>
      <c r="BM55" s="2" t="s">
        <v>2828</v>
      </c>
      <c r="BN55" s="2">
        <v>3.3</v>
      </c>
      <c r="BO55" s="2">
        <v>3.5</v>
      </c>
      <c r="BP55" s="2" t="s">
        <v>52</v>
      </c>
      <c r="BQ55" s="2" t="s">
        <v>52</v>
      </c>
      <c r="BR55" s="2" t="s">
        <v>52</v>
      </c>
      <c r="BS55" s="2" t="s">
        <v>52</v>
      </c>
      <c r="BT55" s="480" t="s">
        <v>52</v>
      </c>
      <c r="BU55" s="370" t="s">
        <v>52</v>
      </c>
      <c r="BV55" s="370" t="s">
        <v>52</v>
      </c>
      <c r="BW55" s="383" t="s">
        <v>52</v>
      </c>
      <c r="BX55" s="383" t="s">
        <v>52</v>
      </c>
      <c r="BY55" s="383" t="s">
        <v>52</v>
      </c>
      <c r="BZ55" s="383" t="s">
        <v>52</v>
      </c>
      <c r="CA55" s="383" t="s">
        <v>52</v>
      </c>
      <c r="CB55" s="370" t="s">
        <v>52</v>
      </c>
      <c r="CC55" s="2">
        <v>174</v>
      </c>
      <c r="CD55" s="2">
        <v>111</v>
      </c>
      <c r="CE55" s="370">
        <v>171</v>
      </c>
      <c r="CF55" s="3">
        <v>91</v>
      </c>
      <c r="CG55" s="383" t="s">
        <v>52</v>
      </c>
      <c r="CH55" s="383" t="s">
        <v>52</v>
      </c>
      <c r="CI55" s="384">
        <v>168</v>
      </c>
      <c r="CJ55" s="2" t="s">
        <v>52</v>
      </c>
      <c r="CK55" s="2" t="s">
        <v>52</v>
      </c>
      <c r="CL55" s="3" t="s">
        <v>2846</v>
      </c>
      <c r="CM55" s="534"/>
      <c r="CN55" s="534"/>
      <c r="CO55" s="496"/>
      <c r="CP55" s="496"/>
      <c r="CQ55" s="496"/>
      <c r="CR55" s="496"/>
      <c r="CS55" s="496"/>
      <c r="CT55" s="496"/>
      <c r="CU55" s="496"/>
      <c r="CV55" s="496"/>
      <c r="CW55" s="496"/>
      <c r="CX55" s="496"/>
      <c r="CY55" s="496"/>
      <c r="CZ55" s="496"/>
      <c r="DA55" s="496"/>
      <c r="DB55" s="496"/>
      <c r="DC55" s="496"/>
      <c r="DD55" s="496"/>
      <c r="DE55" s="496"/>
      <c r="DF55" s="496"/>
      <c r="DG55" s="496"/>
      <c r="DH55" s="496"/>
      <c r="DI55" s="496"/>
      <c r="DJ55" s="496"/>
      <c r="DK55" s="496"/>
      <c r="DL55" s="496"/>
      <c r="DM55" s="381" t="s">
        <v>54</v>
      </c>
      <c r="DN55" s="487"/>
      <c r="DO55" s="381" t="s">
        <v>54</v>
      </c>
      <c r="DP55" s="385" t="s">
        <v>54</v>
      </c>
      <c r="DQ55" s="385" t="s">
        <v>54</v>
      </c>
      <c r="DR55" s="381" t="s">
        <v>54</v>
      </c>
      <c r="DS55" s="381" t="s">
        <v>54</v>
      </c>
      <c r="DT55" s="381" t="s">
        <v>54</v>
      </c>
      <c r="DU55" s="381" t="s">
        <v>54</v>
      </c>
      <c r="DV55" s="381" t="s">
        <v>54</v>
      </c>
      <c r="DW55" s="381" t="s">
        <v>54</v>
      </c>
      <c r="DX55" s="490"/>
      <c r="DY55" s="405" t="s">
        <v>54</v>
      </c>
      <c r="DZ55" s="490"/>
      <c r="EA55" s="405" t="s">
        <v>54</v>
      </c>
      <c r="EB55" s="405" t="s">
        <v>54</v>
      </c>
      <c r="EC55" s="405" t="s">
        <v>54</v>
      </c>
      <c r="ED55" s="381" t="s">
        <v>54</v>
      </c>
      <c r="EE55" s="381" t="s">
        <v>54</v>
      </c>
      <c r="EF55" s="381" t="s">
        <v>54</v>
      </c>
      <c r="EG55" s="381" t="s">
        <v>54</v>
      </c>
      <c r="EH55" s="381" t="s">
        <v>54</v>
      </c>
      <c r="EI55" s="381" t="s">
        <v>54</v>
      </c>
      <c r="EJ55" s="381" t="s">
        <v>54</v>
      </c>
      <c r="EK55" s="381" t="s">
        <v>54</v>
      </c>
      <c r="EL55" s="381" t="s">
        <v>54</v>
      </c>
      <c r="EM55" s="381" t="s">
        <v>54</v>
      </c>
      <c r="EN55" s="381" t="s">
        <v>54</v>
      </c>
      <c r="EO55" s="381" t="s">
        <v>54</v>
      </c>
      <c r="EP55" s="381" t="s">
        <v>54</v>
      </c>
      <c r="EQ55" s="381" t="s">
        <v>54</v>
      </c>
      <c r="ER55" s="381" t="s">
        <v>54</v>
      </c>
      <c r="ES55" s="381" t="s">
        <v>54</v>
      </c>
      <c r="ET55" s="381" t="s">
        <v>54</v>
      </c>
      <c r="EU55" s="381" t="s">
        <v>54</v>
      </c>
    </row>
    <row r="56" spans="1:151" s="1" customFormat="1" ht="19.899999999999999" customHeight="1">
      <c r="A56" s="493"/>
      <c r="B56" s="493"/>
      <c r="C56" s="487"/>
      <c r="D56" s="507"/>
      <c r="E56" s="507"/>
      <c r="F56" s="540"/>
      <c r="G56" s="514"/>
      <c r="H56" s="507"/>
      <c r="I56" s="540"/>
      <c r="J56" s="507"/>
      <c r="K56" s="493"/>
      <c r="L56" s="497"/>
      <c r="M56" s="493"/>
      <c r="N56" s="487"/>
      <c r="O56" s="514"/>
      <c r="P56" s="531"/>
      <c r="Q56" s="497"/>
      <c r="R56" s="2" t="s">
        <v>54</v>
      </c>
      <c r="S56" s="382" t="s">
        <v>54</v>
      </c>
      <c r="T56" s="371" t="s">
        <v>54</v>
      </c>
      <c r="U56" s="373" t="s">
        <v>54</v>
      </c>
      <c r="V56" s="2" t="s">
        <v>54</v>
      </c>
      <c r="W56" s="372" t="s">
        <v>54</v>
      </c>
      <c r="X56" s="490"/>
      <c r="Y56" s="372" t="s">
        <v>54</v>
      </c>
      <c r="Z56" s="521"/>
      <c r="AA56" s="383" t="s">
        <v>54</v>
      </c>
      <c r="AB56" s="493"/>
      <c r="AC56" s="2" t="s">
        <v>54</v>
      </c>
      <c r="AD56" s="497"/>
      <c r="AE56" s="405" t="s">
        <v>54</v>
      </c>
      <c r="AF56" s="372" t="s">
        <v>54</v>
      </c>
      <c r="AG56" s="372" t="s">
        <v>54</v>
      </c>
      <c r="AH56" s="372" t="s">
        <v>54</v>
      </c>
      <c r="AI56" s="372" t="s">
        <v>54</v>
      </c>
      <c r="AJ56" s="529"/>
      <c r="AK56" s="533"/>
      <c r="AL56" s="533"/>
      <c r="AM56" s="533"/>
      <c r="AN56" s="533"/>
      <c r="AO56" s="533"/>
      <c r="AP56" s="2" t="s">
        <v>54</v>
      </c>
      <c r="AQ56" s="546"/>
      <c r="AR56" s="2" t="s">
        <v>54</v>
      </c>
      <c r="AS56" s="366" t="s">
        <v>54</v>
      </c>
      <c r="AT56" s="366" t="s">
        <v>54</v>
      </c>
      <c r="AU56" s="2" t="s">
        <v>54</v>
      </c>
      <c r="AV56" s="2" t="s">
        <v>54</v>
      </c>
      <c r="AW56" s="2" t="s">
        <v>54</v>
      </c>
      <c r="AX56" s="2" t="s">
        <v>54</v>
      </c>
      <c r="AY56" s="380" t="s">
        <v>54</v>
      </c>
      <c r="AZ56" s="378" t="s">
        <v>54</v>
      </c>
      <c r="BA56" s="537"/>
      <c r="BB56" s="378" t="s">
        <v>54</v>
      </c>
      <c r="BC56" s="546"/>
      <c r="BD56" s="378" t="s">
        <v>54</v>
      </c>
      <c r="BE56" s="378" t="s">
        <v>54</v>
      </c>
      <c r="BF56" s="378" t="s">
        <v>54</v>
      </c>
      <c r="BG56" s="2" t="s">
        <v>54</v>
      </c>
      <c r="BH56" s="2" t="s">
        <v>54</v>
      </c>
      <c r="BI56" s="2" t="s">
        <v>54</v>
      </c>
      <c r="BJ56" s="2" t="s">
        <v>54</v>
      </c>
      <c r="BK56" s="371" t="s">
        <v>54</v>
      </c>
      <c r="BL56" s="370" t="s">
        <v>54</v>
      </c>
      <c r="BM56" s="2" t="s">
        <v>54</v>
      </c>
      <c r="BN56" s="2" t="s">
        <v>54</v>
      </c>
      <c r="BO56" s="2" t="s">
        <v>54</v>
      </c>
      <c r="BP56" s="2" t="s">
        <v>54</v>
      </c>
      <c r="BQ56" s="2" t="s">
        <v>54</v>
      </c>
      <c r="BR56" s="2" t="s">
        <v>54</v>
      </c>
      <c r="BS56" s="2" t="s">
        <v>54</v>
      </c>
      <c r="BT56" s="371" t="s">
        <v>54</v>
      </c>
      <c r="BU56" s="370" t="s">
        <v>54</v>
      </c>
      <c r="BV56" s="2" t="s">
        <v>54</v>
      </c>
      <c r="BW56" s="383" t="s">
        <v>54</v>
      </c>
      <c r="BX56" s="381" t="s">
        <v>54</v>
      </c>
      <c r="BY56" s="383" t="s">
        <v>54</v>
      </c>
      <c r="BZ56" s="381" t="s">
        <v>54</v>
      </c>
      <c r="CA56" s="383" t="s">
        <v>54</v>
      </c>
      <c r="CB56" s="2" t="s">
        <v>54</v>
      </c>
      <c r="CC56" s="2" t="s">
        <v>54</v>
      </c>
      <c r="CD56" s="2" t="s">
        <v>54</v>
      </c>
      <c r="CE56" s="370" t="s">
        <v>54</v>
      </c>
      <c r="CF56" s="2" t="s">
        <v>54</v>
      </c>
      <c r="CG56" s="383" t="s">
        <v>54</v>
      </c>
      <c r="CH56" s="383" t="s">
        <v>54</v>
      </c>
      <c r="CI56" s="383" t="s">
        <v>54</v>
      </c>
      <c r="CJ56" s="2" t="s">
        <v>54</v>
      </c>
      <c r="CK56" s="2" t="s">
        <v>54</v>
      </c>
      <c r="CL56" s="2" t="s">
        <v>54</v>
      </c>
      <c r="CM56" s="534"/>
      <c r="CN56" s="534"/>
      <c r="CO56" s="497"/>
      <c r="CP56" s="497"/>
      <c r="CQ56" s="497"/>
      <c r="CR56" s="497"/>
      <c r="CS56" s="497"/>
      <c r="CT56" s="497"/>
      <c r="CU56" s="497"/>
      <c r="CV56" s="497"/>
      <c r="CW56" s="497"/>
      <c r="CX56" s="497"/>
      <c r="CY56" s="497"/>
      <c r="CZ56" s="497"/>
      <c r="DA56" s="497"/>
      <c r="DB56" s="497"/>
      <c r="DC56" s="497"/>
      <c r="DD56" s="497"/>
      <c r="DE56" s="497"/>
      <c r="DF56" s="497"/>
      <c r="DG56" s="497"/>
      <c r="DH56" s="497"/>
      <c r="DI56" s="497"/>
      <c r="DJ56" s="497"/>
      <c r="DK56" s="497"/>
      <c r="DL56" s="497"/>
      <c r="DM56" s="381" t="s">
        <v>54</v>
      </c>
      <c r="DN56" s="487"/>
      <c r="DO56" s="381" t="s">
        <v>54</v>
      </c>
      <c r="DP56" s="385" t="s">
        <v>54</v>
      </c>
      <c r="DQ56" s="385" t="s">
        <v>54</v>
      </c>
      <c r="DR56" s="381" t="s">
        <v>54</v>
      </c>
      <c r="DS56" s="381" t="s">
        <v>54</v>
      </c>
      <c r="DT56" s="381" t="s">
        <v>54</v>
      </c>
      <c r="DU56" s="381" t="s">
        <v>54</v>
      </c>
      <c r="DV56" s="381" t="s">
        <v>54</v>
      </c>
      <c r="DW56" s="381" t="s">
        <v>54</v>
      </c>
      <c r="DX56" s="490"/>
      <c r="DY56" s="405" t="s">
        <v>54</v>
      </c>
      <c r="DZ56" s="490"/>
      <c r="EA56" s="405" t="s">
        <v>54</v>
      </c>
      <c r="EB56" s="405" t="s">
        <v>54</v>
      </c>
      <c r="EC56" s="405" t="s">
        <v>54</v>
      </c>
      <c r="ED56" s="381" t="s">
        <v>54</v>
      </c>
      <c r="EE56" s="381" t="s">
        <v>54</v>
      </c>
      <c r="EF56" s="381" t="s">
        <v>54</v>
      </c>
      <c r="EG56" s="381" t="s">
        <v>54</v>
      </c>
      <c r="EH56" s="381" t="s">
        <v>54</v>
      </c>
      <c r="EI56" s="381" t="s">
        <v>54</v>
      </c>
      <c r="EJ56" s="381" t="s">
        <v>54</v>
      </c>
      <c r="EK56" s="381" t="s">
        <v>54</v>
      </c>
      <c r="EL56" s="381" t="s">
        <v>54</v>
      </c>
      <c r="EM56" s="381" t="s">
        <v>54</v>
      </c>
      <c r="EN56" s="381" t="s">
        <v>54</v>
      </c>
      <c r="EO56" s="381" t="s">
        <v>54</v>
      </c>
      <c r="EP56" s="381" t="s">
        <v>54</v>
      </c>
      <c r="EQ56" s="381" t="s">
        <v>54</v>
      </c>
      <c r="ER56" s="381" t="s">
        <v>54</v>
      </c>
      <c r="ES56" s="381" t="s">
        <v>54</v>
      </c>
      <c r="ET56" s="381" t="s">
        <v>54</v>
      </c>
      <c r="EU56" s="381" t="s">
        <v>54</v>
      </c>
    </row>
    <row r="57" spans="1:151" s="1" customFormat="1" ht="19.899999999999999" customHeight="1">
      <c r="A57" s="494"/>
      <c r="B57" s="494"/>
      <c r="C57" s="488"/>
      <c r="D57" s="508"/>
      <c r="E57" s="508"/>
      <c r="F57" s="541"/>
      <c r="G57" s="515"/>
      <c r="H57" s="508"/>
      <c r="I57" s="541"/>
      <c r="J57" s="508"/>
      <c r="K57" s="494"/>
      <c r="L57" s="498"/>
      <c r="M57" s="494"/>
      <c r="N57" s="488"/>
      <c r="O57" s="515"/>
      <c r="P57" s="532"/>
      <c r="Q57" s="498"/>
      <c r="R57" s="2" t="s">
        <v>54</v>
      </c>
      <c r="S57" s="382" t="s">
        <v>52</v>
      </c>
      <c r="T57" s="371" t="s">
        <v>54</v>
      </c>
      <c r="U57" s="373" t="s">
        <v>54</v>
      </c>
      <c r="V57" s="2" t="s">
        <v>54</v>
      </c>
      <c r="W57" s="372" t="s">
        <v>54</v>
      </c>
      <c r="X57" s="490"/>
      <c r="Y57" s="372" t="s">
        <v>54</v>
      </c>
      <c r="Z57" s="521"/>
      <c r="AA57" s="383" t="s">
        <v>54</v>
      </c>
      <c r="AB57" s="494"/>
      <c r="AC57" s="2" t="s">
        <v>54</v>
      </c>
      <c r="AD57" s="498"/>
      <c r="AE57" s="405" t="s">
        <v>54</v>
      </c>
      <c r="AF57" s="372" t="s">
        <v>54</v>
      </c>
      <c r="AG57" s="372" t="s">
        <v>54</v>
      </c>
      <c r="AH57" s="372" t="s">
        <v>54</v>
      </c>
      <c r="AI57" s="372" t="s">
        <v>54</v>
      </c>
      <c r="AJ57" s="530"/>
      <c r="AK57" s="533"/>
      <c r="AL57" s="533"/>
      <c r="AM57" s="533"/>
      <c r="AN57" s="533"/>
      <c r="AO57" s="533"/>
      <c r="AP57" s="2" t="s">
        <v>54</v>
      </c>
      <c r="AQ57" s="547"/>
      <c r="AR57" s="2" t="s">
        <v>54</v>
      </c>
      <c r="AS57" s="366" t="s">
        <v>54</v>
      </c>
      <c r="AT57" s="366" t="s">
        <v>54</v>
      </c>
      <c r="AU57" s="2" t="s">
        <v>54</v>
      </c>
      <c r="AV57" s="2" t="s">
        <v>54</v>
      </c>
      <c r="AW57" s="2" t="s">
        <v>54</v>
      </c>
      <c r="AX57" s="2" t="s">
        <v>54</v>
      </c>
      <c r="AY57" s="380" t="s">
        <v>54</v>
      </c>
      <c r="AZ57" s="378" t="s">
        <v>54</v>
      </c>
      <c r="BA57" s="537"/>
      <c r="BB57" s="378" t="s">
        <v>54</v>
      </c>
      <c r="BC57" s="547"/>
      <c r="BD57" s="378" t="s">
        <v>54</v>
      </c>
      <c r="BE57" s="378" t="s">
        <v>54</v>
      </c>
      <c r="BF57" s="378" t="s">
        <v>54</v>
      </c>
      <c r="BG57" s="2" t="s">
        <v>54</v>
      </c>
      <c r="BH57" s="2" t="s">
        <v>54</v>
      </c>
      <c r="BI57" s="2" t="s">
        <v>54</v>
      </c>
      <c r="BJ57" s="2" t="s">
        <v>54</v>
      </c>
      <c r="BK57" s="371" t="s">
        <v>54</v>
      </c>
      <c r="BL57" s="370" t="s">
        <v>54</v>
      </c>
      <c r="BM57" s="2" t="s">
        <v>54</v>
      </c>
      <c r="BN57" s="2" t="s">
        <v>54</v>
      </c>
      <c r="BO57" s="2" t="s">
        <v>54</v>
      </c>
      <c r="BP57" s="2" t="s">
        <v>54</v>
      </c>
      <c r="BQ57" s="2" t="s">
        <v>54</v>
      </c>
      <c r="BR57" s="2" t="s">
        <v>54</v>
      </c>
      <c r="BS57" s="2" t="s">
        <v>54</v>
      </c>
      <c r="BT57" s="371" t="s">
        <v>54</v>
      </c>
      <c r="BU57" s="370" t="s">
        <v>54</v>
      </c>
      <c r="BV57" s="2" t="s">
        <v>54</v>
      </c>
      <c r="BW57" s="383" t="s">
        <v>54</v>
      </c>
      <c r="BX57" s="381" t="s">
        <v>54</v>
      </c>
      <c r="BY57" s="383" t="s">
        <v>54</v>
      </c>
      <c r="BZ57" s="381" t="s">
        <v>54</v>
      </c>
      <c r="CA57" s="383" t="s">
        <v>54</v>
      </c>
      <c r="CB57" s="2" t="s">
        <v>54</v>
      </c>
      <c r="CC57" s="2" t="s">
        <v>54</v>
      </c>
      <c r="CD57" s="2" t="s">
        <v>54</v>
      </c>
      <c r="CE57" s="370" t="s">
        <v>54</v>
      </c>
      <c r="CF57" s="2" t="s">
        <v>54</v>
      </c>
      <c r="CG57" s="383" t="s">
        <v>54</v>
      </c>
      <c r="CH57" s="383" t="s">
        <v>54</v>
      </c>
      <c r="CI57" s="383" t="s">
        <v>54</v>
      </c>
      <c r="CJ57" s="2" t="s">
        <v>54</v>
      </c>
      <c r="CK57" s="2" t="s">
        <v>54</v>
      </c>
      <c r="CL57" s="2" t="s">
        <v>54</v>
      </c>
      <c r="CM57" s="535"/>
      <c r="CN57" s="535"/>
      <c r="CO57" s="498"/>
      <c r="CP57" s="498"/>
      <c r="CQ57" s="498"/>
      <c r="CR57" s="498"/>
      <c r="CS57" s="498"/>
      <c r="CT57" s="498"/>
      <c r="CU57" s="498"/>
      <c r="CV57" s="498"/>
      <c r="CW57" s="498"/>
      <c r="CX57" s="498"/>
      <c r="CY57" s="498"/>
      <c r="CZ57" s="498"/>
      <c r="DA57" s="498"/>
      <c r="DB57" s="498"/>
      <c r="DC57" s="498"/>
      <c r="DD57" s="498"/>
      <c r="DE57" s="498"/>
      <c r="DF57" s="498"/>
      <c r="DG57" s="498"/>
      <c r="DH57" s="498"/>
      <c r="DI57" s="498"/>
      <c r="DJ57" s="498"/>
      <c r="DK57" s="498"/>
      <c r="DL57" s="498"/>
      <c r="DM57" s="381" t="s">
        <v>54</v>
      </c>
      <c r="DN57" s="488"/>
      <c r="DO57" s="381" t="s">
        <v>54</v>
      </c>
      <c r="DP57" s="385" t="s">
        <v>54</v>
      </c>
      <c r="DQ57" s="385" t="s">
        <v>54</v>
      </c>
      <c r="DR57" s="381" t="s">
        <v>54</v>
      </c>
      <c r="DS57" s="381" t="s">
        <v>54</v>
      </c>
      <c r="DT57" s="381" t="s">
        <v>54</v>
      </c>
      <c r="DU57" s="381" t="s">
        <v>54</v>
      </c>
      <c r="DV57" s="381" t="s">
        <v>54</v>
      </c>
      <c r="DW57" s="381" t="s">
        <v>54</v>
      </c>
      <c r="DX57" s="490"/>
      <c r="DY57" s="405" t="s">
        <v>54</v>
      </c>
      <c r="DZ57" s="490"/>
      <c r="EA57" s="405" t="s">
        <v>54</v>
      </c>
      <c r="EB57" s="405" t="s">
        <v>54</v>
      </c>
      <c r="EC57" s="405" t="s">
        <v>54</v>
      </c>
      <c r="ED57" s="381" t="s">
        <v>54</v>
      </c>
      <c r="EE57" s="381" t="s">
        <v>54</v>
      </c>
      <c r="EF57" s="381" t="s">
        <v>54</v>
      </c>
      <c r="EG57" s="381" t="s">
        <v>54</v>
      </c>
      <c r="EH57" s="381" t="s">
        <v>54</v>
      </c>
      <c r="EI57" s="381" t="s">
        <v>54</v>
      </c>
      <c r="EJ57" s="381" t="s">
        <v>54</v>
      </c>
      <c r="EK57" s="381" t="s">
        <v>54</v>
      </c>
      <c r="EL57" s="381" t="s">
        <v>54</v>
      </c>
      <c r="EM57" s="381" t="s">
        <v>54</v>
      </c>
      <c r="EN57" s="381" t="s">
        <v>54</v>
      </c>
      <c r="EO57" s="381" t="s">
        <v>54</v>
      </c>
      <c r="EP57" s="381" t="s">
        <v>54</v>
      </c>
      <c r="EQ57" s="381" t="s">
        <v>54</v>
      </c>
      <c r="ER57" s="381" t="s">
        <v>54</v>
      </c>
      <c r="ES57" s="381" t="s">
        <v>54</v>
      </c>
      <c r="ET57" s="381" t="s">
        <v>54</v>
      </c>
      <c r="EU57" s="381" t="s">
        <v>54</v>
      </c>
    </row>
    <row r="58" spans="1:151" s="1" customFormat="1" ht="19.899999999999999" customHeight="1">
      <c r="A58" s="491">
        <v>1</v>
      </c>
      <c r="B58" s="491">
        <v>1</v>
      </c>
      <c r="C58" s="486" t="s">
        <v>2797</v>
      </c>
      <c r="D58" s="491" t="s">
        <v>2852</v>
      </c>
      <c r="E58" s="495" t="s">
        <v>2924</v>
      </c>
      <c r="F58" s="491" t="s">
        <v>2853</v>
      </c>
      <c r="G58" s="512" t="s">
        <v>2921</v>
      </c>
      <c r="H58" s="491" t="s">
        <v>2858</v>
      </c>
      <c r="I58" s="491" t="s">
        <v>2854</v>
      </c>
      <c r="J58" s="491" t="s">
        <v>52</v>
      </c>
      <c r="K58" s="516" t="s">
        <v>3116</v>
      </c>
      <c r="L58" s="495" t="s">
        <v>3133</v>
      </c>
      <c r="M58" s="512" t="s">
        <v>2866</v>
      </c>
      <c r="N58" s="486" t="s">
        <v>3133</v>
      </c>
      <c r="O58" s="512" t="s">
        <v>2866</v>
      </c>
      <c r="P58" s="517" t="s">
        <v>2922</v>
      </c>
      <c r="Q58" s="495">
        <v>3</v>
      </c>
      <c r="R58" s="381" t="s">
        <v>2718</v>
      </c>
      <c r="S58" s="382" t="s">
        <v>52</v>
      </c>
      <c r="T58" s="382" t="s">
        <v>52</v>
      </c>
      <c r="U58" s="393" t="s">
        <v>52</v>
      </c>
      <c r="V58" s="393" t="s">
        <v>52</v>
      </c>
      <c r="W58" s="392" t="s">
        <v>52</v>
      </c>
      <c r="X58" s="489" t="s">
        <v>52</v>
      </c>
      <c r="Y58" s="392" t="s">
        <v>52</v>
      </c>
      <c r="Z58" s="489" t="s">
        <v>52</v>
      </c>
      <c r="AA58" s="383" t="s">
        <v>52</v>
      </c>
      <c r="AB58" s="491" t="s">
        <v>52</v>
      </c>
      <c r="AC58" s="392" t="s">
        <v>52</v>
      </c>
      <c r="AD58" s="489" t="s">
        <v>52</v>
      </c>
      <c r="AE58" s="405" t="s">
        <v>52</v>
      </c>
      <c r="AF58" s="392" t="s">
        <v>52</v>
      </c>
      <c r="AG58" s="402" t="s">
        <v>52</v>
      </c>
      <c r="AH58" s="402" t="s">
        <v>52</v>
      </c>
      <c r="AI58" s="402" t="s">
        <v>52</v>
      </c>
      <c r="AJ58" s="483" t="s">
        <v>54</v>
      </c>
      <c r="AK58" s="483" t="s">
        <v>54</v>
      </c>
      <c r="AL58" s="483" t="s">
        <v>54</v>
      </c>
      <c r="AM58" s="483" t="s">
        <v>54</v>
      </c>
      <c r="AN58" s="483" t="s">
        <v>54</v>
      </c>
      <c r="AO58" s="483" t="s">
        <v>54</v>
      </c>
      <c r="AP58" s="381" t="s">
        <v>54</v>
      </c>
      <c r="AQ58" s="486" t="s">
        <v>54</v>
      </c>
      <c r="AR58" s="381" t="s">
        <v>54</v>
      </c>
      <c r="AS58" s="385" t="s">
        <v>54</v>
      </c>
      <c r="AT58" s="385" t="s">
        <v>54</v>
      </c>
      <c r="AU58" s="381" t="s">
        <v>54</v>
      </c>
      <c r="AV58" s="381" t="s">
        <v>54</v>
      </c>
      <c r="AW58" s="381" t="s">
        <v>54</v>
      </c>
      <c r="AX58" s="381" t="s">
        <v>54</v>
      </c>
      <c r="AY58" s="386" t="s">
        <v>54</v>
      </c>
      <c r="AZ58" s="392" t="s">
        <v>54</v>
      </c>
      <c r="BA58" s="489" t="s">
        <v>54</v>
      </c>
      <c r="BB58" s="392" t="s">
        <v>54</v>
      </c>
      <c r="BC58" s="489" t="s">
        <v>54</v>
      </c>
      <c r="BD58" s="392" t="s">
        <v>54</v>
      </c>
      <c r="BE58" s="392" t="s">
        <v>54</v>
      </c>
      <c r="BF58" s="392" t="s">
        <v>54</v>
      </c>
      <c r="BG58" s="381" t="s">
        <v>54</v>
      </c>
      <c r="BH58" s="381" t="s">
        <v>54</v>
      </c>
      <c r="BI58" s="381" t="s">
        <v>54</v>
      </c>
      <c r="BJ58" s="381" t="s">
        <v>54</v>
      </c>
      <c r="BK58" s="381" t="s">
        <v>54</v>
      </c>
      <c r="BL58" s="381" t="s">
        <v>54</v>
      </c>
      <c r="BM58" s="381" t="s">
        <v>54</v>
      </c>
      <c r="BN58" s="381" t="s">
        <v>54</v>
      </c>
      <c r="BO58" s="381" t="s">
        <v>54</v>
      </c>
      <c r="BP58" s="381" t="s">
        <v>54</v>
      </c>
      <c r="BQ58" s="381" t="s">
        <v>54</v>
      </c>
      <c r="BR58" s="381" t="s">
        <v>54</v>
      </c>
      <c r="BS58" s="381" t="s">
        <v>54</v>
      </c>
      <c r="BT58" s="381" t="s">
        <v>54</v>
      </c>
      <c r="BU58" s="383" t="s">
        <v>54</v>
      </c>
      <c r="BV58" s="381" t="s">
        <v>54</v>
      </c>
      <c r="BW58" s="381" t="s">
        <v>54</v>
      </c>
      <c r="BX58" s="381" t="s">
        <v>54</v>
      </c>
      <c r="BY58" s="381" t="s">
        <v>54</v>
      </c>
      <c r="BZ58" s="381" t="s">
        <v>54</v>
      </c>
      <c r="CA58" s="381" t="s">
        <v>54</v>
      </c>
      <c r="CB58" s="381" t="s">
        <v>54</v>
      </c>
      <c r="CC58" s="381" t="s">
        <v>54</v>
      </c>
      <c r="CD58" s="381" t="s">
        <v>54</v>
      </c>
      <c r="CE58" s="383" t="s">
        <v>54</v>
      </c>
      <c r="CF58" s="381" t="s">
        <v>54</v>
      </c>
      <c r="CG58" s="381" t="s">
        <v>54</v>
      </c>
      <c r="CH58" s="381" t="s">
        <v>54</v>
      </c>
      <c r="CI58" s="383" t="s">
        <v>54</v>
      </c>
      <c r="CJ58" s="381" t="s">
        <v>54</v>
      </c>
      <c r="CK58" s="381" t="s">
        <v>54</v>
      </c>
      <c r="CL58" s="381" t="s">
        <v>54</v>
      </c>
      <c r="CM58" s="483" t="s">
        <v>54</v>
      </c>
      <c r="CN58" s="483" t="s">
        <v>54</v>
      </c>
      <c r="CO58" s="491" t="s">
        <v>54</v>
      </c>
      <c r="CP58" s="491" t="s">
        <v>54</v>
      </c>
      <c r="CQ58" s="491" t="s">
        <v>54</v>
      </c>
      <c r="CR58" s="491" t="s">
        <v>54</v>
      </c>
      <c r="CS58" s="491" t="s">
        <v>54</v>
      </c>
      <c r="CT58" s="491" t="s">
        <v>2024</v>
      </c>
      <c r="CU58" s="491">
        <v>2019</v>
      </c>
      <c r="CV58" s="491" t="s">
        <v>2864</v>
      </c>
      <c r="CW58" s="491" t="s">
        <v>1996</v>
      </c>
      <c r="CX58" s="491" t="s">
        <v>3068</v>
      </c>
      <c r="CY58" s="491" t="s">
        <v>3069</v>
      </c>
      <c r="CZ58" s="491" t="s">
        <v>2927</v>
      </c>
      <c r="DA58" s="491" t="s">
        <v>3306</v>
      </c>
      <c r="DB58" s="491" t="s">
        <v>2928</v>
      </c>
      <c r="DC58" s="491" t="s">
        <v>54</v>
      </c>
      <c r="DD58" s="491" t="s">
        <v>54</v>
      </c>
      <c r="DE58" s="491" t="s">
        <v>54</v>
      </c>
      <c r="DF58" s="491" t="s">
        <v>54</v>
      </c>
      <c r="DG58" s="495" t="s">
        <v>54</v>
      </c>
      <c r="DH58" s="495" t="s">
        <v>54</v>
      </c>
      <c r="DI58" s="495" t="s">
        <v>54</v>
      </c>
      <c r="DJ58" s="495" t="s">
        <v>54</v>
      </c>
      <c r="DK58" s="495" t="s">
        <v>54</v>
      </c>
      <c r="DL58" s="495" t="s">
        <v>54</v>
      </c>
      <c r="DM58" s="381" t="s">
        <v>54</v>
      </c>
      <c r="DN58" s="486" t="s">
        <v>54</v>
      </c>
      <c r="DO58" s="381" t="s">
        <v>54</v>
      </c>
      <c r="DP58" s="385" t="s">
        <v>54</v>
      </c>
      <c r="DQ58" s="385" t="s">
        <v>54</v>
      </c>
      <c r="DR58" s="381" t="s">
        <v>54</v>
      </c>
      <c r="DS58" s="381" t="s">
        <v>54</v>
      </c>
      <c r="DT58" s="381" t="s">
        <v>54</v>
      </c>
      <c r="DU58" s="381" t="s">
        <v>54</v>
      </c>
      <c r="DV58" s="381" t="s">
        <v>54</v>
      </c>
      <c r="DW58" s="381" t="s">
        <v>54</v>
      </c>
      <c r="DX58" s="489" t="s">
        <v>54</v>
      </c>
      <c r="DY58" s="405" t="s">
        <v>54</v>
      </c>
      <c r="DZ58" s="489" t="s">
        <v>54</v>
      </c>
      <c r="EA58" s="405" t="s">
        <v>54</v>
      </c>
      <c r="EB58" s="405" t="s">
        <v>54</v>
      </c>
      <c r="EC58" s="405" t="s">
        <v>54</v>
      </c>
      <c r="ED58" s="381" t="s">
        <v>54</v>
      </c>
      <c r="EE58" s="381" t="s">
        <v>54</v>
      </c>
      <c r="EF58" s="381" t="s">
        <v>54</v>
      </c>
      <c r="EG58" s="381" t="s">
        <v>54</v>
      </c>
      <c r="EH58" s="381" t="s">
        <v>54</v>
      </c>
      <c r="EI58" s="381" t="s">
        <v>54</v>
      </c>
      <c r="EJ58" s="381" t="s">
        <v>54</v>
      </c>
      <c r="EK58" s="381" t="s">
        <v>54</v>
      </c>
      <c r="EL58" s="381" t="s">
        <v>54</v>
      </c>
      <c r="EM58" s="381" t="s">
        <v>54</v>
      </c>
      <c r="EN58" s="381" t="s">
        <v>54</v>
      </c>
      <c r="EO58" s="381" t="s">
        <v>54</v>
      </c>
      <c r="EP58" s="381" t="s">
        <v>54</v>
      </c>
      <c r="EQ58" s="381" t="s">
        <v>54</v>
      </c>
      <c r="ER58" s="381" t="s">
        <v>54</v>
      </c>
      <c r="ES58" s="381" t="s">
        <v>54</v>
      </c>
      <c r="ET58" s="381" t="s">
        <v>54</v>
      </c>
      <c r="EU58" s="381" t="s">
        <v>54</v>
      </c>
    </row>
    <row r="59" spans="1:151" s="1" customFormat="1" ht="19.899999999999999" customHeight="1">
      <c r="A59" s="492"/>
      <c r="B59" s="492"/>
      <c r="C59" s="487"/>
      <c r="D59" s="509"/>
      <c r="E59" s="506"/>
      <c r="F59" s="509"/>
      <c r="G59" s="513"/>
      <c r="H59" s="509"/>
      <c r="I59" s="509"/>
      <c r="J59" s="509"/>
      <c r="K59" s="492"/>
      <c r="L59" s="496"/>
      <c r="M59" s="513"/>
      <c r="N59" s="487"/>
      <c r="O59" s="513"/>
      <c r="P59" s="518"/>
      <c r="Q59" s="496"/>
      <c r="R59" s="381" t="s">
        <v>2720</v>
      </c>
      <c r="S59" s="382" t="s">
        <v>52</v>
      </c>
      <c r="T59" s="382" t="s">
        <v>52</v>
      </c>
      <c r="U59" s="393" t="s">
        <v>52</v>
      </c>
      <c r="V59" s="393" t="s">
        <v>52</v>
      </c>
      <c r="W59" s="393" t="s">
        <v>52</v>
      </c>
      <c r="X59" s="490"/>
      <c r="Y59" s="393" t="s">
        <v>52</v>
      </c>
      <c r="Z59" s="490"/>
      <c r="AA59" s="383" t="s">
        <v>52</v>
      </c>
      <c r="AB59" s="492"/>
      <c r="AC59" s="393" t="s">
        <v>52</v>
      </c>
      <c r="AD59" s="490"/>
      <c r="AE59" s="404" t="s">
        <v>52</v>
      </c>
      <c r="AF59" s="392" t="s">
        <v>52</v>
      </c>
      <c r="AG59" s="402" t="s">
        <v>52</v>
      </c>
      <c r="AH59" s="402" t="s">
        <v>52</v>
      </c>
      <c r="AI59" s="402" t="s">
        <v>52</v>
      </c>
      <c r="AJ59" s="484"/>
      <c r="AK59" s="484"/>
      <c r="AL59" s="484"/>
      <c r="AM59" s="484"/>
      <c r="AN59" s="484"/>
      <c r="AO59" s="484"/>
      <c r="AP59" s="381" t="s">
        <v>54</v>
      </c>
      <c r="AQ59" s="487"/>
      <c r="AR59" s="381" t="s">
        <v>54</v>
      </c>
      <c r="AS59" s="385" t="s">
        <v>54</v>
      </c>
      <c r="AT59" s="385" t="s">
        <v>54</v>
      </c>
      <c r="AU59" s="381" t="s">
        <v>54</v>
      </c>
      <c r="AV59" s="381" t="s">
        <v>54</v>
      </c>
      <c r="AW59" s="381" t="s">
        <v>54</v>
      </c>
      <c r="AX59" s="381" t="s">
        <v>54</v>
      </c>
      <c r="AY59" s="386" t="s">
        <v>54</v>
      </c>
      <c r="AZ59" s="392" t="s">
        <v>54</v>
      </c>
      <c r="BA59" s="490"/>
      <c r="BB59" s="392" t="s">
        <v>54</v>
      </c>
      <c r="BC59" s="490"/>
      <c r="BD59" s="392" t="s">
        <v>54</v>
      </c>
      <c r="BE59" s="392" t="s">
        <v>54</v>
      </c>
      <c r="BF59" s="392" t="s">
        <v>54</v>
      </c>
      <c r="BG59" s="381" t="s">
        <v>54</v>
      </c>
      <c r="BH59" s="381" t="s">
        <v>54</v>
      </c>
      <c r="BI59" s="381" t="s">
        <v>54</v>
      </c>
      <c r="BJ59" s="381" t="s">
        <v>54</v>
      </c>
      <c r="BK59" s="381" t="s">
        <v>54</v>
      </c>
      <c r="BL59" s="381" t="s">
        <v>54</v>
      </c>
      <c r="BM59" s="381" t="s">
        <v>54</v>
      </c>
      <c r="BN59" s="381" t="s">
        <v>54</v>
      </c>
      <c r="BO59" s="381" t="s">
        <v>54</v>
      </c>
      <c r="BP59" s="381" t="s">
        <v>54</v>
      </c>
      <c r="BQ59" s="381" t="s">
        <v>54</v>
      </c>
      <c r="BR59" s="381" t="s">
        <v>54</v>
      </c>
      <c r="BS59" s="381" t="s">
        <v>54</v>
      </c>
      <c r="BT59" s="381" t="s">
        <v>54</v>
      </c>
      <c r="BU59" s="383" t="s">
        <v>54</v>
      </c>
      <c r="BV59" s="381" t="s">
        <v>54</v>
      </c>
      <c r="BW59" s="381" t="s">
        <v>54</v>
      </c>
      <c r="BX59" s="381" t="s">
        <v>54</v>
      </c>
      <c r="BY59" s="381" t="s">
        <v>54</v>
      </c>
      <c r="BZ59" s="381" t="s">
        <v>54</v>
      </c>
      <c r="CA59" s="381" t="s">
        <v>54</v>
      </c>
      <c r="CB59" s="381" t="s">
        <v>54</v>
      </c>
      <c r="CC59" s="381" t="s">
        <v>54</v>
      </c>
      <c r="CD59" s="381" t="s">
        <v>54</v>
      </c>
      <c r="CE59" s="383" t="s">
        <v>54</v>
      </c>
      <c r="CF59" s="381" t="s">
        <v>54</v>
      </c>
      <c r="CG59" s="381" t="s">
        <v>54</v>
      </c>
      <c r="CH59" s="381" t="s">
        <v>54</v>
      </c>
      <c r="CI59" s="383" t="s">
        <v>54</v>
      </c>
      <c r="CJ59" s="381" t="s">
        <v>54</v>
      </c>
      <c r="CK59" s="381" t="s">
        <v>54</v>
      </c>
      <c r="CL59" s="381" t="s">
        <v>54</v>
      </c>
      <c r="CM59" s="499"/>
      <c r="CN59" s="499"/>
      <c r="CO59" s="492"/>
      <c r="CP59" s="492"/>
      <c r="CQ59" s="492"/>
      <c r="CR59" s="492"/>
      <c r="CS59" s="492"/>
      <c r="CT59" s="492"/>
      <c r="CU59" s="492"/>
      <c r="CV59" s="492"/>
      <c r="CW59" s="492"/>
      <c r="CX59" s="492"/>
      <c r="CY59" s="492"/>
      <c r="CZ59" s="492"/>
      <c r="DA59" s="492"/>
      <c r="DB59" s="492"/>
      <c r="DC59" s="492"/>
      <c r="DD59" s="492"/>
      <c r="DE59" s="492"/>
      <c r="DF59" s="492"/>
      <c r="DG59" s="496"/>
      <c r="DH59" s="496"/>
      <c r="DI59" s="496"/>
      <c r="DJ59" s="496"/>
      <c r="DK59" s="496"/>
      <c r="DL59" s="496"/>
      <c r="DM59" s="381" t="s">
        <v>54</v>
      </c>
      <c r="DN59" s="487"/>
      <c r="DO59" s="381" t="s">
        <v>54</v>
      </c>
      <c r="DP59" s="385" t="s">
        <v>54</v>
      </c>
      <c r="DQ59" s="385" t="s">
        <v>54</v>
      </c>
      <c r="DR59" s="381" t="s">
        <v>54</v>
      </c>
      <c r="DS59" s="381" t="s">
        <v>54</v>
      </c>
      <c r="DT59" s="381" t="s">
        <v>54</v>
      </c>
      <c r="DU59" s="381" t="s">
        <v>54</v>
      </c>
      <c r="DV59" s="381" t="s">
        <v>54</v>
      </c>
      <c r="DW59" s="381" t="s">
        <v>54</v>
      </c>
      <c r="DX59" s="490"/>
      <c r="DY59" s="405" t="s">
        <v>54</v>
      </c>
      <c r="DZ59" s="490"/>
      <c r="EA59" s="405" t="s">
        <v>54</v>
      </c>
      <c r="EB59" s="405" t="s">
        <v>54</v>
      </c>
      <c r="EC59" s="405" t="s">
        <v>54</v>
      </c>
      <c r="ED59" s="381" t="s">
        <v>54</v>
      </c>
      <c r="EE59" s="381" t="s">
        <v>54</v>
      </c>
      <c r="EF59" s="381" t="s">
        <v>54</v>
      </c>
      <c r="EG59" s="381" t="s">
        <v>54</v>
      </c>
      <c r="EH59" s="381" t="s">
        <v>54</v>
      </c>
      <c r="EI59" s="381" t="s">
        <v>54</v>
      </c>
      <c r="EJ59" s="381" t="s">
        <v>54</v>
      </c>
      <c r="EK59" s="381" t="s">
        <v>54</v>
      </c>
      <c r="EL59" s="381" t="s">
        <v>54</v>
      </c>
      <c r="EM59" s="381" t="s">
        <v>54</v>
      </c>
      <c r="EN59" s="381" t="s">
        <v>54</v>
      </c>
      <c r="EO59" s="381" t="s">
        <v>54</v>
      </c>
      <c r="EP59" s="381" t="s">
        <v>54</v>
      </c>
      <c r="EQ59" s="381" t="s">
        <v>54</v>
      </c>
      <c r="ER59" s="381" t="s">
        <v>54</v>
      </c>
      <c r="ES59" s="381" t="s">
        <v>54</v>
      </c>
      <c r="ET59" s="381" t="s">
        <v>54</v>
      </c>
      <c r="EU59" s="381" t="s">
        <v>54</v>
      </c>
    </row>
    <row r="60" spans="1:151" s="1" customFormat="1" ht="19.899999999999999" customHeight="1">
      <c r="A60" s="493"/>
      <c r="B60" s="493"/>
      <c r="C60" s="487"/>
      <c r="D60" s="510"/>
      <c r="E60" s="507"/>
      <c r="F60" s="510"/>
      <c r="G60" s="514"/>
      <c r="H60" s="510"/>
      <c r="I60" s="510"/>
      <c r="J60" s="510"/>
      <c r="K60" s="493"/>
      <c r="L60" s="497"/>
      <c r="M60" s="514"/>
      <c r="N60" s="487"/>
      <c r="O60" s="514"/>
      <c r="P60" s="518"/>
      <c r="Q60" s="497"/>
      <c r="R60" s="381" t="s">
        <v>2728</v>
      </c>
      <c r="S60" s="382" t="s">
        <v>52</v>
      </c>
      <c r="T60" s="382" t="s">
        <v>52</v>
      </c>
      <c r="U60" s="393" t="s">
        <v>52</v>
      </c>
      <c r="V60" s="393" t="s">
        <v>52</v>
      </c>
      <c r="W60" s="393" t="s">
        <v>52</v>
      </c>
      <c r="X60" s="490"/>
      <c r="Y60" s="393" t="s">
        <v>52</v>
      </c>
      <c r="Z60" s="490"/>
      <c r="AA60" s="383" t="s">
        <v>52</v>
      </c>
      <c r="AB60" s="493"/>
      <c r="AC60" s="393" t="s">
        <v>52</v>
      </c>
      <c r="AD60" s="490"/>
      <c r="AE60" s="404" t="s">
        <v>52</v>
      </c>
      <c r="AF60" s="392" t="s">
        <v>52</v>
      </c>
      <c r="AG60" s="402" t="s">
        <v>52</v>
      </c>
      <c r="AH60" s="402" t="s">
        <v>52</v>
      </c>
      <c r="AI60" s="402" t="s">
        <v>52</v>
      </c>
      <c r="AJ60" s="484"/>
      <c r="AK60" s="484"/>
      <c r="AL60" s="484"/>
      <c r="AM60" s="484"/>
      <c r="AN60" s="484"/>
      <c r="AO60" s="484"/>
      <c r="AP60" s="381" t="s">
        <v>54</v>
      </c>
      <c r="AQ60" s="487"/>
      <c r="AR60" s="381" t="s">
        <v>54</v>
      </c>
      <c r="AS60" s="385" t="s">
        <v>54</v>
      </c>
      <c r="AT60" s="385" t="s">
        <v>54</v>
      </c>
      <c r="AU60" s="381" t="s">
        <v>54</v>
      </c>
      <c r="AV60" s="381" t="s">
        <v>54</v>
      </c>
      <c r="AW60" s="381" t="s">
        <v>54</v>
      </c>
      <c r="AX60" s="381" t="s">
        <v>54</v>
      </c>
      <c r="AY60" s="386" t="s">
        <v>54</v>
      </c>
      <c r="AZ60" s="392" t="s">
        <v>54</v>
      </c>
      <c r="BA60" s="490"/>
      <c r="BB60" s="392" t="s">
        <v>54</v>
      </c>
      <c r="BC60" s="490"/>
      <c r="BD60" s="392" t="s">
        <v>54</v>
      </c>
      <c r="BE60" s="392" t="s">
        <v>54</v>
      </c>
      <c r="BF60" s="392" t="s">
        <v>54</v>
      </c>
      <c r="BG60" s="381" t="s">
        <v>54</v>
      </c>
      <c r="BH60" s="381" t="s">
        <v>54</v>
      </c>
      <c r="BI60" s="381" t="s">
        <v>54</v>
      </c>
      <c r="BJ60" s="381" t="s">
        <v>54</v>
      </c>
      <c r="BK60" s="381" t="s">
        <v>54</v>
      </c>
      <c r="BL60" s="381" t="s">
        <v>54</v>
      </c>
      <c r="BM60" s="381" t="s">
        <v>54</v>
      </c>
      <c r="BN60" s="381" t="s">
        <v>54</v>
      </c>
      <c r="BO60" s="381" t="s">
        <v>54</v>
      </c>
      <c r="BP60" s="381" t="s">
        <v>54</v>
      </c>
      <c r="BQ60" s="381" t="s">
        <v>54</v>
      </c>
      <c r="BR60" s="381" t="s">
        <v>54</v>
      </c>
      <c r="BS60" s="381" t="s">
        <v>54</v>
      </c>
      <c r="BT60" s="381" t="s">
        <v>54</v>
      </c>
      <c r="BU60" s="383" t="s">
        <v>54</v>
      </c>
      <c r="BV60" s="381" t="s">
        <v>54</v>
      </c>
      <c r="BW60" s="381" t="s">
        <v>54</v>
      </c>
      <c r="BX60" s="381" t="s">
        <v>54</v>
      </c>
      <c r="BY60" s="381" t="s">
        <v>54</v>
      </c>
      <c r="BZ60" s="381" t="s">
        <v>54</v>
      </c>
      <c r="CA60" s="381" t="s">
        <v>54</v>
      </c>
      <c r="CB60" s="381" t="s">
        <v>54</v>
      </c>
      <c r="CC60" s="381" t="s">
        <v>54</v>
      </c>
      <c r="CD60" s="381" t="s">
        <v>54</v>
      </c>
      <c r="CE60" s="383" t="s">
        <v>54</v>
      </c>
      <c r="CF60" s="381" t="s">
        <v>54</v>
      </c>
      <c r="CG60" s="381" t="s">
        <v>54</v>
      </c>
      <c r="CH60" s="381" t="s">
        <v>54</v>
      </c>
      <c r="CI60" s="383" t="s">
        <v>54</v>
      </c>
      <c r="CJ60" s="381" t="s">
        <v>54</v>
      </c>
      <c r="CK60" s="381" t="s">
        <v>54</v>
      </c>
      <c r="CL60" s="381" t="s">
        <v>54</v>
      </c>
      <c r="CM60" s="499"/>
      <c r="CN60" s="499"/>
      <c r="CO60" s="493"/>
      <c r="CP60" s="493"/>
      <c r="CQ60" s="493"/>
      <c r="CR60" s="493"/>
      <c r="CS60" s="493"/>
      <c r="CT60" s="493"/>
      <c r="CU60" s="493"/>
      <c r="CV60" s="493"/>
      <c r="CW60" s="493"/>
      <c r="CX60" s="493"/>
      <c r="CY60" s="493"/>
      <c r="CZ60" s="493"/>
      <c r="DA60" s="493"/>
      <c r="DB60" s="493"/>
      <c r="DC60" s="493"/>
      <c r="DD60" s="493"/>
      <c r="DE60" s="493"/>
      <c r="DF60" s="493"/>
      <c r="DG60" s="497"/>
      <c r="DH60" s="497"/>
      <c r="DI60" s="497"/>
      <c r="DJ60" s="497"/>
      <c r="DK60" s="497"/>
      <c r="DL60" s="497"/>
      <c r="DM60" s="381" t="s">
        <v>54</v>
      </c>
      <c r="DN60" s="487"/>
      <c r="DO60" s="381" t="s">
        <v>54</v>
      </c>
      <c r="DP60" s="385" t="s">
        <v>54</v>
      </c>
      <c r="DQ60" s="385" t="s">
        <v>54</v>
      </c>
      <c r="DR60" s="381" t="s">
        <v>54</v>
      </c>
      <c r="DS60" s="381" t="s">
        <v>54</v>
      </c>
      <c r="DT60" s="381" t="s">
        <v>54</v>
      </c>
      <c r="DU60" s="381" t="s">
        <v>54</v>
      </c>
      <c r="DV60" s="381" t="s">
        <v>54</v>
      </c>
      <c r="DW60" s="381" t="s">
        <v>54</v>
      </c>
      <c r="DX60" s="490"/>
      <c r="DY60" s="405" t="s">
        <v>54</v>
      </c>
      <c r="DZ60" s="490"/>
      <c r="EA60" s="405" t="s">
        <v>54</v>
      </c>
      <c r="EB60" s="405" t="s">
        <v>54</v>
      </c>
      <c r="EC60" s="405" t="s">
        <v>54</v>
      </c>
      <c r="ED60" s="381" t="s">
        <v>54</v>
      </c>
      <c r="EE60" s="381" t="s">
        <v>54</v>
      </c>
      <c r="EF60" s="381" t="s">
        <v>54</v>
      </c>
      <c r="EG60" s="381" t="s">
        <v>54</v>
      </c>
      <c r="EH60" s="381" t="s">
        <v>54</v>
      </c>
      <c r="EI60" s="381" t="s">
        <v>54</v>
      </c>
      <c r="EJ60" s="381" t="s">
        <v>54</v>
      </c>
      <c r="EK60" s="381" t="s">
        <v>54</v>
      </c>
      <c r="EL60" s="381" t="s">
        <v>54</v>
      </c>
      <c r="EM60" s="381" t="s">
        <v>54</v>
      </c>
      <c r="EN60" s="381" t="s">
        <v>54</v>
      </c>
      <c r="EO60" s="381" t="s">
        <v>54</v>
      </c>
      <c r="EP60" s="381" t="s">
        <v>54</v>
      </c>
      <c r="EQ60" s="381" t="s">
        <v>54</v>
      </c>
      <c r="ER60" s="381" t="s">
        <v>54</v>
      </c>
      <c r="ES60" s="381" t="s">
        <v>54</v>
      </c>
      <c r="ET60" s="381" t="s">
        <v>54</v>
      </c>
      <c r="EU60" s="381" t="s">
        <v>54</v>
      </c>
    </row>
    <row r="61" spans="1:151" s="1" customFormat="1" ht="22.15" customHeight="1">
      <c r="A61" s="494"/>
      <c r="B61" s="494"/>
      <c r="C61" s="488"/>
      <c r="D61" s="511"/>
      <c r="E61" s="508"/>
      <c r="F61" s="511"/>
      <c r="G61" s="515"/>
      <c r="H61" s="511"/>
      <c r="I61" s="511"/>
      <c r="J61" s="511"/>
      <c r="K61" s="494"/>
      <c r="L61" s="498"/>
      <c r="M61" s="515"/>
      <c r="N61" s="488"/>
      <c r="O61" s="515"/>
      <c r="P61" s="519"/>
      <c r="Q61" s="498"/>
      <c r="R61" s="381" t="s">
        <v>54</v>
      </c>
      <c r="S61" s="382" t="s">
        <v>52</v>
      </c>
      <c r="T61" s="382" t="s">
        <v>54</v>
      </c>
      <c r="U61" s="393" t="s">
        <v>54</v>
      </c>
      <c r="V61" s="393" t="s">
        <v>54</v>
      </c>
      <c r="W61" s="393" t="s">
        <v>54</v>
      </c>
      <c r="X61" s="490"/>
      <c r="Y61" s="393" t="s">
        <v>54</v>
      </c>
      <c r="Z61" s="490"/>
      <c r="AA61" s="383" t="s">
        <v>54</v>
      </c>
      <c r="AB61" s="494"/>
      <c r="AC61" s="393" t="s">
        <v>54</v>
      </c>
      <c r="AD61" s="490"/>
      <c r="AE61" s="404" t="s">
        <v>54</v>
      </c>
      <c r="AF61" s="392" t="s">
        <v>54</v>
      </c>
      <c r="AG61" s="402" t="s">
        <v>54</v>
      </c>
      <c r="AH61" s="402" t="s">
        <v>54</v>
      </c>
      <c r="AI61" s="402" t="s">
        <v>54</v>
      </c>
      <c r="AJ61" s="485"/>
      <c r="AK61" s="485"/>
      <c r="AL61" s="485"/>
      <c r="AM61" s="485"/>
      <c r="AN61" s="485"/>
      <c r="AO61" s="485"/>
      <c r="AP61" s="381" t="s">
        <v>54</v>
      </c>
      <c r="AQ61" s="488"/>
      <c r="AR61" s="381" t="s">
        <v>54</v>
      </c>
      <c r="AS61" s="385" t="s">
        <v>54</v>
      </c>
      <c r="AT61" s="385" t="s">
        <v>54</v>
      </c>
      <c r="AU61" s="381" t="s">
        <v>54</v>
      </c>
      <c r="AV61" s="381" t="s">
        <v>54</v>
      </c>
      <c r="AW61" s="381" t="s">
        <v>54</v>
      </c>
      <c r="AX61" s="381" t="s">
        <v>54</v>
      </c>
      <c r="AY61" s="386" t="s">
        <v>54</v>
      </c>
      <c r="AZ61" s="392" t="s">
        <v>54</v>
      </c>
      <c r="BA61" s="490"/>
      <c r="BB61" s="392" t="s">
        <v>54</v>
      </c>
      <c r="BC61" s="490"/>
      <c r="BD61" s="392" t="s">
        <v>54</v>
      </c>
      <c r="BE61" s="392" t="s">
        <v>54</v>
      </c>
      <c r="BF61" s="392" t="s">
        <v>54</v>
      </c>
      <c r="BG61" s="381" t="s">
        <v>54</v>
      </c>
      <c r="BH61" s="381" t="s">
        <v>54</v>
      </c>
      <c r="BI61" s="381" t="s">
        <v>54</v>
      </c>
      <c r="BJ61" s="381" t="s">
        <v>54</v>
      </c>
      <c r="BK61" s="381" t="s">
        <v>54</v>
      </c>
      <c r="BL61" s="381" t="s">
        <v>54</v>
      </c>
      <c r="BM61" s="381" t="s">
        <v>54</v>
      </c>
      <c r="BN61" s="381" t="s">
        <v>54</v>
      </c>
      <c r="BO61" s="381" t="s">
        <v>54</v>
      </c>
      <c r="BP61" s="381" t="s">
        <v>54</v>
      </c>
      <c r="BQ61" s="381" t="s">
        <v>54</v>
      </c>
      <c r="BR61" s="381" t="s">
        <v>54</v>
      </c>
      <c r="BS61" s="381" t="s">
        <v>54</v>
      </c>
      <c r="BT61" s="381" t="s">
        <v>54</v>
      </c>
      <c r="BU61" s="383" t="s">
        <v>54</v>
      </c>
      <c r="BV61" s="381" t="s">
        <v>54</v>
      </c>
      <c r="BW61" s="381" t="s">
        <v>54</v>
      </c>
      <c r="BX61" s="381" t="s">
        <v>54</v>
      </c>
      <c r="BY61" s="381" t="s">
        <v>54</v>
      </c>
      <c r="BZ61" s="381" t="s">
        <v>54</v>
      </c>
      <c r="CA61" s="381" t="s">
        <v>54</v>
      </c>
      <c r="CB61" s="381" t="s">
        <v>54</v>
      </c>
      <c r="CC61" s="381" t="s">
        <v>54</v>
      </c>
      <c r="CD61" s="381" t="s">
        <v>54</v>
      </c>
      <c r="CE61" s="383" t="s">
        <v>54</v>
      </c>
      <c r="CF61" s="381" t="s">
        <v>54</v>
      </c>
      <c r="CG61" s="381" t="s">
        <v>54</v>
      </c>
      <c r="CH61" s="381" t="s">
        <v>54</v>
      </c>
      <c r="CI61" s="383" t="s">
        <v>54</v>
      </c>
      <c r="CJ61" s="381" t="s">
        <v>54</v>
      </c>
      <c r="CK61" s="381" t="s">
        <v>54</v>
      </c>
      <c r="CL61" s="381" t="s">
        <v>54</v>
      </c>
      <c r="CM61" s="500"/>
      <c r="CN61" s="500"/>
      <c r="CO61" s="494"/>
      <c r="CP61" s="494"/>
      <c r="CQ61" s="494"/>
      <c r="CR61" s="494"/>
      <c r="CS61" s="494"/>
      <c r="CT61" s="494"/>
      <c r="CU61" s="494"/>
      <c r="CV61" s="494"/>
      <c r="CW61" s="494"/>
      <c r="CX61" s="494"/>
      <c r="CY61" s="494"/>
      <c r="CZ61" s="494"/>
      <c r="DA61" s="494"/>
      <c r="DB61" s="494"/>
      <c r="DC61" s="494"/>
      <c r="DD61" s="494"/>
      <c r="DE61" s="494"/>
      <c r="DF61" s="494"/>
      <c r="DG61" s="498"/>
      <c r="DH61" s="498"/>
      <c r="DI61" s="498"/>
      <c r="DJ61" s="498"/>
      <c r="DK61" s="498"/>
      <c r="DL61" s="498"/>
      <c r="DM61" s="381" t="s">
        <v>54</v>
      </c>
      <c r="DN61" s="488"/>
      <c r="DO61" s="381" t="s">
        <v>54</v>
      </c>
      <c r="DP61" s="385" t="s">
        <v>54</v>
      </c>
      <c r="DQ61" s="385" t="s">
        <v>54</v>
      </c>
      <c r="DR61" s="381" t="s">
        <v>54</v>
      </c>
      <c r="DS61" s="381" t="s">
        <v>54</v>
      </c>
      <c r="DT61" s="381" t="s">
        <v>54</v>
      </c>
      <c r="DU61" s="381" t="s">
        <v>54</v>
      </c>
      <c r="DV61" s="381" t="s">
        <v>54</v>
      </c>
      <c r="DW61" s="381" t="s">
        <v>54</v>
      </c>
      <c r="DX61" s="490"/>
      <c r="DY61" s="405" t="s">
        <v>54</v>
      </c>
      <c r="DZ61" s="490"/>
      <c r="EA61" s="405" t="s">
        <v>54</v>
      </c>
      <c r="EB61" s="405" t="s">
        <v>54</v>
      </c>
      <c r="EC61" s="405" t="s">
        <v>54</v>
      </c>
      <c r="ED61" s="381" t="s">
        <v>54</v>
      </c>
      <c r="EE61" s="381" t="s">
        <v>54</v>
      </c>
      <c r="EF61" s="381" t="s">
        <v>54</v>
      </c>
      <c r="EG61" s="381" t="s">
        <v>54</v>
      </c>
      <c r="EH61" s="381" t="s">
        <v>54</v>
      </c>
      <c r="EI61" s="381" t="s">
        <v>54</v>
      </c>
      <c r="EJ61" s="381" t="s">
        <v>54</v>
      </c>
      <c r="EK61" s="381" t="s">
        <v>54</v>
      </c>
      <c r="EL61" s="381" t="s">
        <v>54</v>
      </c>
      <c r="EM61" s="381" t="s">
        <v>54</v>
      </c>
      <c r="EN61" s="381" t="s">
        <v>54</v>
      </c>
      <c r="EO61" s="381" t="s">
        <v>54</v>
      </c>
      <c r="EP61" s="381" t="s">
        <v>54</v>
      </c>
      <c r="EQ61" s="381" t="s">
        <v>54</v>
      </c>
      <c r="ER61" s="381" t="s">
        <v>54</v>
      </c>
      <c r="ES61" s="381" t="s">
        <v>54</v>
      </c>
      <c r="ET61" s="381" t="s">
        <v>54</v>
      </c>
      <c r="EU61" s="381" t="s">
        <v>54</v>
      </c>
    </row>
    <row r="62" spans="1:151" s="1" customFormat="1" ht="19.899999999999999" customHeight="1">
      <c r="A62" s="491">
        <v>2</v>
      </c>
      <c r="B62" s="491">
        <v>2</v>
      </c>
      <c r="C62" s="486" t="s">
        <v>2797</v>
      </c>
      <c r="D62" s="491" t="s">
        <v>3070</v>
      </c>
      <c r="E62" s="495" t="s">
        <v>2924</v>
      </c>
      <c r="F62" s="491" t="s">
        <v>2929</v>
      </c>
      <c r="G62" s="512" t="s">
        <v>2930</v>
      </c>
      <c r="H62" s="491" t="s">
        <v>2931</v>
      </c>
      <c r="I62" s="491" t="s">
        <v>2932</v>
      </c>
      <c r="J62" s="491" t="s">
        <v>2938</v>
      </c>
      <c r="K62" s="516" t="s">
        <v>3117</v>
      </c>
      <c r="L62" s="495" t="s">
        <v>3133</v>
      </c>
      <c r="M62" s="491" t="s">
        <v>2925</v>
      </c>
      <c r="N62" s="486" t="s">
        <v>3133</v>
      </c>
      <c r="O62" s="512" t="s">
        <v>2925</v>
      </c>
      <c r="P62" s="517" t="s">
        <v>2902</v>
      </c>
      <c r="Q62" s="491">
        <v>2</v>
      </c>
      <c r="R62" s="381" t="s">
        <v>2728</v>
      </c>
      <c r="S62" s="382" t="s">
        <v>52</v>
      </c>
      <c r="T62" s="382" t="s">
        <v>52</v>
      </c>
      <c r="U62" s="390" t="s">
        <v>52</v>
      </c>
      <c r="V62" s="396" t="s">
        <v>52</v>
      </c>
      <c r="W62" s="389">
        <v>546</v>
      </c>
      <c r="X62" s="489">
        <f>W62+W63</f>
        <v>1088</v>
      </c>
      <c r="Y62" s="389" t="s">
        <v>52</v>
      </c>
      <c r="Z62" s="520" t="s">
        <v>52</v>
      </c>
      <c r="AA62" s="395">
        <v>546</v>
      </c>
      <c r="AB62" s="491">
        <v>1088</v>
      </c>
      <c r="AC62" s="381" t="s">
        <v>52</v>
      </c>
      <c r="AD62" s="491" t="s">
        <v>52</v>
      </c>
      <c r="AE62" s="404">
        <v>70.5</v>
      </c>
      <c r="AF62" s="381" t="s">
        <v>52</v>
      </c>
      <c r="AG62" s="381" t="s">
        <v>52</v>
      </c>
      <c r="AH62" s="381" t="s">
        <v>52</v>
      </c>
      <c r="AI62" s="381" t="s">
        <v>52</v>
      </c>
      <c r="AJ62" s="483" t="s">
        <v>54</v>
      </c>
      <c r="AK62" s="483" t="s">
        <v>54</v>
      </c>
      <c r="AL62" s="483" t="s">
        <v>54</v>
      </c>
      <c r="AM62" s="483" t="s">
        <v>54</v>
      </c>
      <c r="AN62" s="483" t="s">
        <v>54</v>
      </c>
      <c r="AO62" s="483" t="s">
        <v>54</v>
      </c>
      <c r="AP62" s="381" t="s">
        <v>54</v>
      </c>
      <c r="AQ62" s="486" t="s">
        <v>54</v>
      </c>
      <c r="AR62" s="381" t="s">
        <v>54</v>
      </c>
      <c r="AS62" s="385" t="s">
        <v>54</v>
      </c>
      <c r="AT62" s="385" t="s">
        <v>54</v>
      </c>
      <c r="AU62" s="381" t="s">
        <v>54</v>
      </c>
      <c r="AV62" s="381" t="s">
        <v>54</v>
      </c>
      <c r="AW62" s="381" t="s">
        <v>54</v>
      </c>
      <c r="AX62" s="381" t="s">
        <v>54</v>
      </c>
      <c r="AY62" s="386" t="s">
        <v>54</v>
      </c>
      <c r="AZ62" s="392" t="s">
        <v>54</v>
      </c>
      <c r="BA62" s="489" t="s">
        <v>54</v>
      </c>
      <c r="BB62" s="392" t="s">
        <v>54</v>
      </c>
      <c r="BC62" s="489" t="s">
        <v>54</v>
      </c>
      <c r="BD62" s="392" t="s">
        <v>54</v>
      </c>
      <c r="BE62" s="392" t="s">
        <v>54</v>
      </c>
      <c r="BF62" s="392" t="s">
        <v>54</v>
      </c>
      <c r="BG62" s="381" t="s">
        <v>54</v>
      </c>
      <c r="BH62" s="381" t="s">
        <v>54</v>
      </c>
      <c r="BI62" s="381" t="s">
        <v>54</v>
      </c>
      <c r="BJ62" s="381" t="s">
        <v>54</v>
      </c>
      <c r="BK62" s="381" t="s">
        <v>54</v>
      </c>
      <c r="BL62" s="381" t="s">
        <v>54</v>
      </c>
      <c r="BM62" s="381" t="s">
        <v>54</v>
      </c>
      <c r="BN62" s="381" t="s">
        <v>54</v>
      </c>
      <c r="BO62" s="381" t="s">
        <v>54</v>
      </c>
      <c r="BP62" s="381" t="s">
        <v>54</v>
      </c>
      <c r="BQ62" s="381" t="s">
        <v>54</v>
      </c>
      <c r="BR62" s="381" t="s">
        <v>54</v>
      </c>
      <c r="BS62" s="381" t="s">
        <v>54</v>
      </c>
      <c r="BT62" s="381" t="s">
        <v>54</v>
      </c>
      <c r="BU62" s="383" t="s">
        <v>54</v>
      </c>
      <c r="BV62" s="381" t="s">
        <v>54</v>
      </c>
      <c r="BW62" s="381" t="s">
        <v>54</v>
      </c>
      <c r="BX62" s="381" t="s">
        <v>54</v>
      </c>
      <c r="BY62" s="381" t="s">
        <v>54</v>
      </c>
      <c r="BZ62" s="381" t="s">
        <v>54</v>
      </c>
      <c r="CA62" s="381" t="s">
        <v>54</v>
      </c>
      <c r="CB62" s="381" t="s">
        <v>54</v>
      </c>
      <c r="CC62" s="381" t="s">
        <v>54</v>
      </c>
      <c r="CD62" s="381" t="s">
        <v>54</v>
      </c>
      <c r="CE62" s="383" t="s">
        <v>54</v>
      </c>
      <c r="CF62" s="381" t="s">
        <v>54</v>
      </c>
      <c r="CG62" s="381" t="s">
        <v>54</v>
      </c>
      <c r="CH62" s="381" t="s">
        <v>54</v>
      </c>
      <c r="CI62" s="383" t="s">
        <v>54</v>
      </c>
      <c r="CJ62" s="381" t="s">
        <v>54</v>
      </c>
      <c r="CK62" s="381" t="s">
        <v>54</v>
      </c>
      <c r="CL62" s="381" t="s">
        <v>54</v>
      </c>
      <c r="CM62" s="483" t="s">
        <v>54</v>
      </c>
      <c r="CN62" s="483" t="s">
        <v>54</v>
      </c>
      <c r="CO62" s="491" t="s">
        <v>54</v>
      </c>
      <c r="CP62" s="491" t="s">
        <v>54</v>
      </c>
      <c r="CQ62" s="491" t="s">
        <v>54</v>
      </c>
      <c r="CR62" s="491" t="s">
        <v>54</v>
      </c>
      <c r="CS62" s="491" t="s">
        <v>54</v>
      </c>
      <c r="CT62" s="491" t="s">
        <v>2024</v>
      </c>
      <c r="CU62" s="491">
        <v>2016</v>
      </c>
      <c r="CV62" s="491" t="s">
        <v>2864</v>
      </c>
      <c r="CW62" s="491" t="s">
        <v>1975</v>
      </c>
      <c r="CX62" s="491" t="s">
        <v>3071</v>
      </c>
      <c r="CY62" s="491" t="s">
        <v>3072</v>
      </c>
      <c r="CZ62" s="491" t="s">
        <v>2939</v>
      </c>
      <c r="DA62" s="491" t="s">
        <v>52</v>
      </c>
      <c r="DB62" s="491" t="s">
        <v>2940</v>
      </c>
      <c r="DC62" s="491" t="s">
        <v>54</v>
      </c>
      <c r="DD62" s="491" t="s">
        <v>54</v>
      </c>
      <c r="DE62" s="491" t="s">
        <v>54</v>
      </c>
      <c r="DF62" s="491" t="s">
        <v>54</v>
      </c>
      <c r="DG62" s="495" t="s">
        <v>54</v>
      </c>
      <c r="DH62" s="495" t="s">
        <v>54</v>
      </c>
      <c r="DI62" s="495" t="s">
        <v>54</v>
      </c>
      <c r="DJ62" s="495" t="s">
        <v>54</v>
      </c>
      <c r="DK62" s="495" t="s">
        <v>54</v>
      </c>
      <c r="DL62" s="495" t="s">
        <v>54</v>
      </c>
      <c r="DM62" s="381" t="s">
        <v>54</v>
      </c>
      <c r="DN62" s="486" t="s">
        <v>54</v>
      </c>
      <c r="DO62" s="381" t="s">
        <v>54</v>
      </c>
      <c r="DP62" s="385" t="s">
        <v>54</v>
      </c>
      <c r="DQ62" s="385" t="s">
        <v>54</v>
      </c>
      <c r="DR62" s="381" t="s">
        <v>54</v>
      </c>
      <c r="DS62" s="381" t="s">
        <v>54</v>
      </c>
      <c r="DT62" s="381" t="s">
        <v>54</v>
      </c>
      <c r="DU62" s="381" t="s">
        <v>54</v>
      </c>
      <c r="DV62" s="381" t="s">
        <v>54</v>
      </c>
      <c r="DW62" s="381" t="s">
        <v>54</v>
      </c>
      <c r="DX62" s="489" t="s">
        <v>54</v>
      </c>
      <c r="DY62" s="405" t="s">
        <v>54</v>
      </c>
      <c r="DZ62" s="489" t="s">
        <v>54</v>
      </c>
      <c r="EA62" s="405" t="s">
        <v>54</v>
      </c>
      <c r="EB62" s="405" t="s">
        <v>54</v>
      </c>
      <c r="EC62" s="405" t="s">
        <v>54</v>
      </c>
      <c r="ED62" s="381" t="s">
        <v>54</v>
      </c>
      <c r="EE62" s="381" t="s">
        <v>54</v>
      </c>
      <c r="EF62" s="381" t="s">
        <v>54</v>
      </c>
      <c r="EG62" s="381" t="s">
        <v>54</v>
      </c>
      <c r="EH62" s="381" t="s">
        <v>54</v>
      </c>
      <c r="EI62" s="381" t="s">
        <v>54</v>
      </c>
      <c r="EJ62" s="381" t="s">
        <v>54</v>
      </c>
      <c r="EK62" s="381" t="s">
        <v>54</v>
      </c>
      <c r="EL62" s="381" t="s">
        <v>54</v>
      </c>
      <c r="EM62" s="381" t="s">
        <v>54</v>
      </c>
      <c r="EN62" s="381" t="s">
        <v>54</v>
      </c>
      <c r="EO62" s="381" t="s">
        <v>54</v>
      </c>
      <c r="EP62" s="381" t="s">
        <v>54</v>
      </c>
      <c r="EQ62" s="381" t="s">
        <v>54</v>
      </c>
      <c r="ER62" s="381" t="s">
        <v>54</v>
      </c>
      <c r="ES62" s="381" t="s">
        <v>54</v>
      </c>
      <c r="ET62" s="381" t="s">
        <v>54</v>
      </c>
      <c r="EU62" s="381" t="s">
        <v>54</v>
      </c>
    </row>
    <row r="63" spans="1:151" s="1" customFormat="1" ht="19.899999999999999" customHeight="1">
      <c r="A63" s="492"/>
      <c r="B63" s="492"/>
      <c r="C63" s="487"/>
      <c r="D63" s="509"/>
      <c r="E63" s="506"/>
      <c r="F63" s="509"/>
      <c r="G63" s="513"/>
      <c r="H63" s="509"/>
      <c r="I63" s="509"/>
      <c r="J63" s="509"/>
      <c r="K63" s="492"/>
      <c r="L63" s="496"/>
      <c r="M63" s="492"/>
      <c r="N63" s="487"/>
      <c r="O63" s="513"/>
      <c r="P63" s="518"/>
      <c r="Q63" s="492"/>
      <c r="R63" s="381" t="s">
        <v>2720</v>
      </c>
      <c r="S63" s="382" t="s">
        <v>52</v>
      </c>
      <c r="T63" s="382" t="s">
        <v>52</v>
      </c>
      <c r="U63" s="390" t="s">
        <v>52</v>
      </c>
      <c r="V63" s="396" t="s">
        <v>52</v>
      </c>
      <c r="W63" s="389">
        <v>542</v>
      </c>
      <c r="X63" s="490"/>
      <c r="Y63" s="389" t="s">
        <v>52</v>
      </c>
      <c r="Z63" s="521"/>
      <c r="AA63" s="395">
        <v>542</v>
      </c>
      <c r="AB63" s="492"/>
      <c r="AC63" s="381" t="s">
        <v>52</v>
      </c>
      <c r="AD63" s="492"/>
      <c r="AE63" s="404">
        <v>70.099999999999994</v>
      </c>
      <c r="AF63" s="381" t="s">
        <v>52</v>
      </c>
      <c r="AG63" s="381" t="s">
        <v>52</v>
      </c>
      <c r="AH63" s="381" t="s">
        <v>52</v>
      </c>
      <c r="AI63" s="381" t="s">
        <v>52</v>
      </c>
      <c r="AJ63" s="484"/>
      <c r="AK63" s="484"/>
      <c r="AL63" s="484"/>
      <c r="AM63" s="484"/>
      <c r="AN63" s="484"/>
      <c r="AO63" s="484"/>
      <c r="AP63" s="381" t="s">
        <v>54</v>
      </c>
      <c r="AQ63" s="487"/>
      <c r="AR63" s="381" t="s">
        <v>54</v>
      </c>
      <c r="AS63" s="385" t="s">
        <v>54</v>
      </c>
      <c r="AT63" s="385" t="s">
        <v>54</v>
      </c>
      <c r="AU63" s="381" t="s">
        <v>54</v>
      </c>
      <c r="AV63" s="381" t="s">
        <v>54</v>
      </c>
      <c r="AW63" s="381" t="s">
        <v>54</v>
      </c>
      <c r="AX63" s="381" t="s">
        <v>54</v>
      </c>
      <c r="AY63" s="386" t="s">
        <v>54</v>
      </c>
      <c r="AZ63" s="392" t="s">
        <v>54</v>
      </c>
      <c r="BA63" s="490"/>
      <c r="BB63" s="392" t="s">
        <v>54</v>
      </c>
      <c r="BC63" s="490"/>
      <c r="BD63" s="392" t="s">
        <v>54</v>
      </c>
      <c r="BE63" s="392" t="s">
        <v>54</v>
      </c>
      <c r="BF63" s="392" t="s">
        <v>54</v>
      </c>
      <c r="BG63" s="381" t="s">
        <v>54</v>
      </c>
      <c r="BH63" s="381" t="s">
        <v>54</v>
      </c>
      <c r="BI63" s="381" t="s">
        <v>54</v>
      </c>
      <c r="BJ63" s="381" t="s">
        <v>54</v>
      </c>
      <c r="BK63" s="381" t="s">
        <v>54</v>
      </c>
      <c r="BL63" s="381" t="s">
        <v>54</v>
      </c>
      <c r="BM63" s="381" t="s">
        <v>54</v>
      </c>
      <c r="BN63" s="381" t="s">
        <v>54</v>
      </c>
      <c r="BO63" s="381" t="s">
        <v>54</v>
      </c>
      <c r="BP63" s="381" t="s">
        <v>54</v>
      </c>
      <c r="BQ63" s="381" t="s">
        <v>54</v>
      </c>
      <c r="BR63" s="381" t="s">
        <v>54</v>
      </c>
      <c r="BS63" s="381" t="s">
        <v>54</v>
      </c>
      <c r="BT63" s="381" t="s">
        <v>54</v>
      </c>
      <c r="BU63" s="383" t="s">
        <v>54</v>
      </c>
      <c r="BV63" s="381" t="s">
        <v>54</v>
      </c>
      <c r="BW63" s="381" t="s">
        <v>54</v>
      </c>
      <c r="BX63" s="381" t="s">
        <v>54</v>
      </c>
      <c r="BY63" s="381" t="s">
        <v>54</v>
      </c>
      <c r="BZ63" s="381" t="s">
        <v>54</v>
      </c>
      <c r="CA63" s="381" t="s">
        <v>54</v>
      </c>
      <c r="CB63" s="381" t="s">
        <v>54</v>
      </c>
      <c r="CC63" s="381" t="s">
        <v>54</v>
      </c>
      <c r="CD63" s="381" t="s">
        <v>54</v>
      </c>
      <c r="CE63" s="383" t="s">
        <v>54</v>
      </c>
      <c r="CF63" s="381" t="s">
        <v>54</v>
      </c>
      <c r="CG63" s="381" t="s">
        <v>54</v>
      </c>
      <c r="CH63" s="381" t="s">
        <v>54</v>
      </c>
      <c r="CI63" s="383" t="s">
        <v>54</v>
      </c>
      <c r="CJ63" s="381" t="s">
        <v>54</v>
      </c>
      <c r="CK63" s="381" t="s">
        <v>54</v>
      </c>
      <c r="CL63" s="381" t="s">
        <v>54</v>
      </c>
      <c r="CM63" s="499"/>
      <c r="CN63" s="499"/>
      <c r="CO63" s="492"/>
      <c r="CP63" s="492"/>
      <c r="CQ63" s="492"/>
      <c r="CR63" s="492"/>
      <c r="CS63" s="492"/>
      <c r="CT63" s="492"/>
      <c r="CU63" s="492"/>
      <c r="CV63" s="492"/>
      <c r="CW63" s="492"/>
      <c r="CX63" s="492"/>
      <c r="CY63" s="492"/>
      <c r="CZ63" s="492"/>
      <c r="DA63" s="492"/>
      <c r="DB63" s="492"/>
      <c r="DC63" s="492"/>
      <c r="DD63" s="492"/>
      <c r="DE63" s="492"/>
      <c r="DF63" s="492"/>
      <c r="DG63" s="496"/>
      <c r="DH63" s="496"/>
      <c r="DI63" s="496"/>
      <c r="DJ63" s="496"/>
      <c r="DK63" s="496"/>
      <c r="DL63" s="496"/>
      <c r="DM63" s="381" t="s">
        <v>54</v>
      </c>
      <c r="DN63" s="487"/>
      <c r="DO63" s="381" t="s">
        <v>54</v>
      </c>
      <c r="DP63" s="385" t="s">
        <v>54</v>
      </c>
      <c r="DQ63" s="385" t="s">
        <v>54</v>
      </c>
      <c r="DR63" s="381" t="s">
        <v>54</v>
      </c>
      <c r="DS63" s="381" t="s">
        <v>54</v>
      </c>
      <c r="DT63" s="381" t="s">
        <v>54</v>
      </c>
      <c r="DU63" s="381" t="s">
        <v>54</v>
      </c>
      <c r="DV63" s="381" t="s">
        <v>54</v>
      </c>
      <c r="DW63" s="381" t="s">
        <v>54</v>
      </c>
      <c r="DX63" s="490"/>
      <c r="DY63" s="405" t="s">
        <v>54</v>
      </c>
      <c r="DZ63" s="490"/>
      <c r="EA63" s="405" t="s">
        <v>54</v>
      </c>
      <c r="EB63" s="405" t="s">
        <v>54</v>
      </c>
      <c r="EC63" s="405" t="s">
        <v>54</v>
      </c>
      <c r="ED63" s="381" t="s">
        <v>54</v>
      </c>
      <c r="EE63" s="381" t="s">
        <v>54</v>
      </c>
      <c r="EF63" s="381" t="s">
        <v>54</v>
      </c>
      <c r="EG63" s="381" t="s">
        <v>54</v>
      </c>
      <c r="EH63" s="381" t="s">
        <v>54</v>
      </c>
      <c r="EI63" s="381" t="s">
        <v>54</v>
      </c>
      <c r="EJ63" s="381" t="s">
        <v>54</v>
      </c>
      <c r="EK63" s="381" t="s">
        <v>54</v>
      </c>
      <c r="EL63" s="381" t="s">
        <v>54</v>
      </c>
      <c r="EM63" s="381" t="s">
        <v>54</v>
      </c>
      <c r="EN63" s="381" t="s">
        <v>54</v>
      </c>
      <c r="EO63" s="381" t="s">
        <v>54</v>
      </c>
      <c r="EP63" s="381" t="s">
        <v>54</v>
      </c>
      <c r="EQ63" s="381" t="s">
        <v>54</v>
      </c>
      <c r="ER63" s="381" t="s">
        <v>54</v>
      </c>
      <c r="ES63" s="381" t="s">
        <v>54</v>
      </c>
      <c r="ET63" s="381" t="s">
        <v>54</v>
      </c>
      <c r="EU63" s="381" t="s">
        <v>54</v>
      </c>
    </row>
    <row r="64" spans="1:151" s="1" customFormat="1" ht="19.899999999999999" customHeight="1">
      <c r="A64" s="493"/>
      <c r="B64" s="493"/>
      <c r="C64" s="487"/>
      <c r="D64" s="510"/>
      <c r="E64" s="507"/>
      <c r="F64" s="510"/>
      <c r="G64" s="514"/>
      <c r="H64" s="510"/>
      <c r="I64" s="510"/>
      <c r="J64" s="510"/>
      <c r="K64" s="493"/>
      <c r="L64" s="497"/>
      <c r="M64" s="493"/>
      <c r="N64" s="487"/>
      <c r="O64" s="514"/>
      <c r="P64" s="518"/>
      <c r="Q64" s="493"/>
      <c r="R64" s="381" t="s">
        <v>54</v>
      </c>
      <c r="S64" s="382" t="s">
        <v>54</v>
      </c>
      <c r="T64" s="382" t="s">
        <v>54</v>
      </c>
      <c r="U64" s="390" t="s">
        <v>54</v>
      </c>
      <c r="V64" s="396" t="s">
        <v>54</v>
      </c>
      <c r="W64" s="396" t="s">
        <v>54</v>
      </c>
      <c r="X64" s="490"/>
      <c r="Y64" s="389" t="s">
        <v>54</v>
      </c>
      <c r="Z64" s="521"/>
      <c r="AA64" s="395" t="s">
        <v>54</v>
      </c>
      <c r="AB64" s="493"/>
      <c r="AC64" s="381" t="s">
        <v>54</v>
      </c>
      <c r="AD64" s="493"/>
      <c r="AE64" s="405" t="s">
        <v>54</v>
      </c>
      <c r="AF64" s="381" t="s">
        <v>54</v>
      </c>
      <c r="AG64" s="381" t="s">
        <v>54</v>
      </c>
      <c r="AH64" s="381" t="s">
        <v>54</v>
      </c>
      <c r="AI64" s="381" t="s">
        <v>54</v>
      </c>
      <c r="AJ64" s="484"/>
      <c r="AK64" s="484"/>
      <c r="AL64" s="484"/>
      <c r="AM64" s="484"/>
      <c r="AN64" s="484"/>
      <c r="AO64" s="484"/>
      <c r="AP64" s="381" t="s">
        <v>54</v>
      </c>
      <c r="AQ64" s="487"/>
      <c r="AR64" s="381" t="s">
        <v>54</v>
      </c>
      <c r="AS64" s="385" t="s">
        <v>54</v>
      </c>
      <c r="AT64" s="385" t="s">
        <v>54</v>
      </c>
      <c r="AU64" s="381" t="s">
        <v>54</v>
      </c>
      <c r="AV64" s="381" t="s">
        <v>54</v>
      </c>
      <c r="AW64" s="381" t="s">
        <v>54</v>
      </c>
      <c r="AX64" s="381" t="s">
        <v>54</v>
      </c>
      <c r="AY64" s="386" t="s">
        <v>54</v>
      </c>
      <c r="AZ64" s="392" t="s">
        <v>54</v>
      </c>
      <c r="BA64" s="490"/>
      <c r="BB64" s="392" t="s">
        <v>54</v>
      </c>
      <c r="BC64" s="490"/>
      <c r="BD64" s="392" t="s">
        <v>54</v>
      </c>
      <c r="BE64" s="392" t="s">
        <v>54</v>
      </c>
      <c r="BF64" s="392" t="s">
        <v>54</v>
      </c>
      <c r="BG64" s="381" t="s">
        <v>54</v>
      </c>
      <c r="BH64" s="381" t="s">
        <v>54</v>
      </c>
      <c r="BI64" s="381" t="s">
        <v>54</v>
      </c>
      <c r="BJ64" s="381" t="s">
        <v>54</v>
      </c>
      <c r="BK64" s="381" t="s">
        <v>54</v>
      </c>
      <c r="BL64" s="381" t="s">
        <v>54</v>
      </c>
      <c r="BM64" s="381" t="s">
        <v>54</v>
      </c>
      <c r="BN64" s="381" t="s">
        <v>54</v>
      </c>
      <c r="BO64" s="381" t="s">
        <v>54</v>
      </c>
      <c r="BP64" s="381" t="s">
        <v>54</v>
      </c>
      <c r="BQ64" s="381" t="s">
        <v>54</v>
      </c>
      <c r="BR64" s="381" t="s">
        <v>54</v>
      </c>
      <c r="BS64" s="381" t="s">
        <v>54</v>
      </c>
      <c r="BT64" s="381" t="s">
        <v>54</v>
      </c>
      <c r="BU64" s="383" t="s">
        <v>54</v>
      </c>
      <c r="BV64" s="381" t="s">
        <v>54</v>
      </c>
      <c r="BW64" s="381" t="s">
        <v>54</v>
      </c>
      <c r="BX64" s="381" t="s">
        <v>54</v>
      </c>
      <c r="BY64" s="381" t="s">
        <v>54</v>
      </c>
      <c r="BZ64" s="381" t="s">
        <v>54</v>
      </c>
      <c r="CA64" s="381" t="s">
        <v>54</v>
      </c>
      <c r="CB64" s="381" t="s">
        <v>54</v>
      </c>
      <c r="CC64" s="381" t="s">
        <v>54</v>
      </c>
      <c r="CD64" s="381" t="s">
        <v>54</v>
      </c>
      <c r="CE64" s="383" t="s">
        <v>54</v>
      </c>
      <c r="CF64" s="381" t="s">
        <v>54</v>
      </c>
      <c r="CG64" s="381" t="s">
        <v>54</v>
      </c>
      <c r="CH64" s="381" t="s">
        <v>54</v>
      </c>
      <c r="CI64" s="383" t="s">
        <v>54</v>
      </c>
      <c r="CJ64" s="381" t="s">
        <v>54</v>
      </c>
      <c r="CK64" s="381" t="s">
        <v>54</v>
      </c>
      <c r="CL64" s="381" t="s">
        <v>54</v>
      </c>
      <c r="CM64" s="499"/>
      <c r="CN64" s="499"/>
      <c r="CO64" s="493"/>
      <c r="CP64" s="493"/>
      <c r="CQ64" s="493"/>
      <c r="CR64" s="493"/>
      <c r="CS64" s="493"/>
      <c r="CT64" s="493"/>
      <c r="CU64" s="493"/>
      <c r="CV64" s="493"/>
      <c r="CW64" s="493"/>
      <c r="CX64" s="493"/>
      <c r="CY64" s="493"/>
      <c r="CZ64" s="493"/>
      <c r="DA64" s="493"/>
      <c r="DB64" s="493"/>
      <c r="DC64" s="493"/>
      <c r="DD64" s="493"/>
      <c r="DE64" s="493"/>
      <c r="DF64" s="493"/>
      <c r="DG64" s="497"/>
      <c r="DH64" s="497"/>
      <c r="DI64" s="497"/>
      <c r="DJ64" s="497"/>
      <c r="DK64" s="497"/>
      <c r="DL64" s="497"/>
      <c r="DM64" s="381" t="s">
        <v>54</v>
      </c>
      <c r="DN64" s="487"/>
      <c r="DO64" s="381" t="s">
        <v>54</v>
      </c>
      <c r="DP64" s="385" t="s">
        <v>54</v>
      </c>
      <c r="DQ64" s="385" t="s">
        <v>54</v>
      </c>
      <c r="DR64" s="381" t="s">
        <v>54</v>
      </c>
      <c r="DS64" s="381" t="s">
        <v>54</v>
      </c>
      <c r="DT64" s="381" t="s">
        <v>54</v>
      </c>
      <c r="DU64" s="381" t="s">
        <v>54</v>
      </c>
      <c r="DV64" s="381" t="s">
        <v>54</v>
      </c>
      <c r="DW64" s="381" t="s">
        <v>54</v>
      </c>
      <c r="DX64" s="490"/>
      <c r="DY64" s="405" t="s">
        <v>54</v>
      </c>
      <c r="DZ64" s="490"/>
      <c r="EA64" s="405" t="s">
        <v>54</v>
      </c>
      <c r="EB64" s="405" t="s">
        <v>54</v>
      </c>
      <c r="EC64" s="405" t="s">
        <v>54</v>
      </c>
      <c r="ED64" s="381" t="s">
        <v>54</v>
      </c>
      <c r="EE64" s="381" t="s">
        <v>54</v>
      </c>
      <c r="EF64" s="381" t="s">
        <v>54</v>
      </c>
      <c r="EG64" s="381" t="s">
        <v>54</v>
      </c>
      <c r="EH64" s="381" t="s">
        <v>54</v>
      </c>
      <c r="EI64" s="381" t="s">
        <v>54</v>
      </c>
      <c r="EJ64" s="381" t="s">
        <v>54</v>
      </c>
      <c r="EK64" s="381" t="s">
        <v>54</v>
      </c>
      <c r="EL64" s="381" t="s">
        <v>54</v>
      </c>
      <c r="EM64" s="381" t="s">
        <v>54</v>
      </c>
      <c r="EN64" s="381" t="s">
        <v>54</v>
      </c>
      <c r="EO64" s="381" t="s">
        <v>54</v>
      </c>
      <c r="EP64" s="381" t="s">
        <v>54</v>
      </c>
      <c r="EQ64" s="381" t="s">
        <v>54</v>
      </c>
      <c r="ER64" s="381" t="s">
        <v>54</v>
      </c>
      <c r="ES64" s="381" t="s">
        <v>54</v>
      </c>
      <c r="ET64" s="381" t="s">
        <v>54</v>
      </c>
      <c r="EU64" s="381" t="s">
        <v>54</v>
      </c>
    </row>
    <row r="65" spans="1:151" s="1" customFormat="1" ht="19.899999999999999" customHeight="1">
      <c r="A65" s="494"/>
      <c r="B65" s="494"/>
      <c r="C65" s="488"/>
      <c r="D65" s="511"/>
      <c r="E65" s="508"/>
      <c r="F65" s="511"/>
      <c r="G65" s="515"/>
      <c r="H65" s="511"/>
      <c r="I65" s="511"/>
      <c r="J65" s="511"/>
      <c r="K65" s="494"/>
      <c r="L65" s="498"/>
      <c r="M65" s="494"/>
      <c r="N65" s="488"/>
      <c r="O65" s="515"/>
      <c r="P65" s="519"/>
      <c r="Q65" s="494"/>
      <c r="R65" s="381" t="s">
        <v>54</v>
      </c>
      <c r="S65" s="382" t="s">
        <v>52</v>
      </c>
      <c r="T65" s="382" t="s">
        <v>54</v>
      </c>
      <c r="U65" s="390" t="s">
        <v>54</v>
      </c>
      <c r="V65" s="396" t="s">
        <v>54</v>
      </c>
      <c r="W65" s="396" t="s">
        <v>54</v>
      </c>
      <c r="X65" s="490"/>
      <c r="Y65" s="389" t="s">
        <v>54</v>
      </c>
      <c r="Z65" s="521"/>
      <c r="AA65" s="395" t="s">
        <v>54</v>
      </c>
      <c r="AB65" s="494"/>
      <c r="AC65" s="381" t="s">
        <v>54</v>
      </c>
      <c r="AD65" s="494"/>
      <c r="AE65" s="405" t="s">
        <v>54</v>
      </c>
      <c r="AF65" s="381" t="s">
        <v>54</v>
      </c>
      <c r="AG65" s="381" t="s">
        <v>54</v>
      </c>
      <c r="AH65" s="381" t="s">
        <v>54</v>
      </c>
      <c r="AI65" s="381" t="s">
        <v>54</v>
      </c>
      <c r="AJ65" s="485"/>
      <c r="AK65" s="485"/>
      <c r="AL65" s="485"/>
      <c r="AM65" s="485"/>
      <c r="AN65" s="485"/>
      <c r="AO65" s="485"/>
      <c r="AP65" s="381" t="s">
        <v>54</v>
      </c>
      <c r="AQ65" s="488"/>
      <c r="AR65" s="381" t="s">
        <v>54</v>
      </c>
      <c r="AS65" s="385" t="s">
        <v>54</v>
      </c>
      <c r="AT65" s="385" t="s">
        <v>54</v>
      </c>
      <c r="AU65" s="381" t="s">
        <v>54</v>
      </c>
      <c r="AV65" s="381" t="s">
        <v>54</v>
      </c>
      <c r="AW65" s="381" t="s">
        <v>54</v>
      </c>
      <c r="AX65" s="381" t="s">
        <v>54</v>
      </c>
      <c r="AY65" s="386" t="s">
        <v>54</v>
      </c>
      <c r="AZ65" s="392" t="s">
        <v>54</v>
      </c>
      <c r="BA65" s="490"/>
      <c r="BB65" s="392" t="s">
        <v>54</v>
      </c>
      <c r="BC65" s="490"/>
      <c r="BD65" s="392" t="s">
        <v>54</v>
      </c>
      <c r="BE65" s="392" t="s">
        <v>54</v>
      </c>
      <c r="BF65" s="392" t="s">
        <v>54</v>
      </c>
      <c r="BG65" s="381" t="s">
        <v>54</v>
      </c>
      <c r="BH65" s="381" t="s">
        <v>54</v>
      </c>
      <c r="BI65" s="381" t="s">
        <v>54</v>
      </c>
      <c r="BJ65" s="381" t="s">
        <v>54</v>
      </c>
      <c r="BK65" s="381" t="s">
        <v>54</v>
      </c>
      <c r="BL65" s="381" t="s">
        <v>54</v>
      </c>
      <c r="BM65" s="381" t="s">
        <v>54</v>
      </c>
      <c r="BN65" s="381" t="s">
        <v>54</v>
      </c>
      <c r="BO65" s="381" t="s">
        <v>54</v>
      </c>
      <c r="BP65" s="381" t="s">
        <v>54</v>
      </c>
      <c r="BQ65" s="381" t="s">
        <v>54</v>
      </c>
      <c r="BR65" s="381" t="s">
        <v>54</v>
      </c>
      <c r="BS65" s="381" t="s">
        <v>54</v>
      </c>
      <c r="BT65" s="381" t="s">
        <v>54</v>
      </c>
      <c r="BU65" s="383" t="s">
        <v>54</v>
      </c>
      <c r="BV65" s="381" t="s">
        <v>54</v>
      </c>
      <c r="BW65" s="381" t="s">
        <v>54</v>
      </c>
      <c r="BX65" s="381" t="s">
        <v>54</v>
      </c>
      <c r="BY65" s="381" t="s">
        <v>54</v>
      </c>
      <c r="BZ65" s="381" t="s">
        <v>54</v>
      </c>
      <c r="CA65" s="381" t="s">
        <v>54</v>
      </c>
      <c r="CB65" s="381" t="s">
        <v>54</v>
      </c>
      <c r="CC65" s="381" t="s">
        <v>54</v>
      </c>
      <c r="CD65" s="381" t="s">
        <v>54</v>
      </c>
      <c r="CE65" s="383" t="s">
        <v>54</v>
      </c>
      <c r="CF65" s="381" t="s">
        <v>54</v>
      </c>
      <c r="CG65" s="381" t="s">
        <v>54</v>
      </c>
      <c r="CH65" s="381" t="s">
        <v>54</v>
      </c>
      <c r="CI65" s="383" t="s">
        <v>54</v>
      </c>
      <c r="CJ65" s="381" t="s">
        <v>54</v>
      </c>
      <c r="CK65" s="381" t="s">
        <v>54</v>
      </c>
      <c r="CL65" s="381" t="s">
        <v>54</v>
      </c>
      <c r="CM65" s="500"/>
      <c r="CN65" s="500"/>
      <c r="CO65" s="494"/>
      <c r="CP65" s="494"/>
      <c r="CQ65" s="494"/>
      <c r="CR65" s="494"/>
      <c r="CS65" s="494"/>
      <c r="CT65" s="494"/>
      <c r="CU65" s="494"/>
      <c r="CV65" s="494"/>
      <c r="CW65" s="494"/>
      <c r="CX65" s="494"/>
      <c r="CY65" s="494"/>
      <c r="CZ65" s="494"/>
      <c r="DA65" s="494"/>
      <c r="DB65" s="494"/>
      <c r="DC65" s="494"/>
      <c r="DD65" s="494"/>
      <c r="DE65" s="494"/>
      <c r="DF65" s="494"/>
      <c r="DG65" s="498"/>
      <c r="DH65" s="498"/>
      <c r="DI65" s="498"/>
      <c r="DJ65" s="498"/>
      <c r="DK65" s="498"/>
      <c r="DL65" s="498"/>
      <c r="DM65" s="381" t="s">
        <v>54</v>
      </c>
      <c r="DN65" s="488"/>
      <c r="DO65" s="381" t="s">
        <v>54</v>
      </c>
      <c r="DP65" s="385" t="s">
        <v>54</v>
      </c>
      <c r="DQ65" s="385" t="s">
        <v>54</v>
      </c>
      <c r="DR65" s="381" t="s">
        <v>54</v>
      </c>
      <c r="DS65" s="381" t="s">
        <v>54</v>
      </c>
      <c r="DT65" s="381" t="s">
        <v>54</v>
      </c>
      <c r="DU65" s="381" t="s">
        <v>54</v>
      </c>
      <c r="DV65" s="381" t="s">
        <v>54</v>
      </c>
      <c r="DW65" s="381" t="s">
        <v>54</v>
      </c>
      <c r="DX65" s="490"/>
      <c r="DY65" s="405" t="s">
        <v>54</v>
      </c>
      <c r="DZ65" s="490"/>
      <c r="EA65" s="405" t="s">
        <v>54</v>
      </c>
      <c r="EB65" s="405" t="s">
        <v>54</v>
      </c>
      <c r="EC65" s="405" t="s">
        <v>54</v>
      </c>
      <c r="ED65" s="381" t="s">
        <v>54</v>
      </c>
      <c r="EE65" s="381" t="s">
        <v>54</v>
      </c>
      <c r="EF65" s="381" t="s">
        <v>54</v>
      </c>
      <c r="EG65" s="381" t="s">
        <v>54</v>
      </c>
      <c r="EH65" s="381" t="s">
        <v>54</v>
      </c>
      <c r="EI65" s="381" t="s">
        <v>54</v>
      </c>
      <c r="EJ65" s="381" t="s">
        <v>54</v>
      </c>
      <c r="EK65" s="381" t="s">
        <v>54</v>
      </c>
      <c r="EL65" s="381" t="s">
        <v>54</v>
      </c>
      <c r="EM65" s="381" t="s">
        <v>54</v>
      </c>
      <c r="EN65" s="381" t="s">
        <v>54</v>
      </c>
      <c r="EO65" s="381" t="s">
        <v>54</v>
      </c>
      <c r="EP65" s="381" t="s">
        <v>54</v>
      </c>
      <c r="EQ65" s="381" t="s">
        <v>54</v>
      </c>
      <c r="ER65" s="381" t="s">
        <v>54</v>
      </c>
      <c r="ES65" s="381" t="s">
        <v>54</v>
      </c>
      <c r="ET65" s="381" t="s">
        <v>54</v>
      </c>
      <c r="EU65" s="381" t="s">
        <v>54</v>
      </c>
    </row>
    <row r="66" spans="1:151" s="1" customFormat="1" ht="19.899999999999999" customHeight="1">
      <c r="A66" s="491">
        <v>3</v>
      </c>
      <c r="B66" s="491">
        <v>3</v>
      </c>
      <c r="C66" s="486" t="s">
        <v>2797</v>
      </c>
      <c r="D66" s="491" t="s">
        <v>3073</v>
      </c>
      <c r="E66" s="495" t="s">
        <v>2924</v>
      </c>
      <c r="F66" s="491" t="s">
        <v>2941</v>
      </c>
      <c r="G66" s="512" t="s">
        <v>2943</v>
      </c>
      <c r="H66" s="491" t="s">
        <v>2944</v>
      </c>
      <c r="I66" s="491" t="s">
        <v>2945</v>
      </c>
      <c r="J66" s="491" t="s">
        <v>2942</v>
      </c>
      <c r="K66" s="516" t="s">
        <v>3118</v>
      </c>
      <c r="L66" s="495" t="s">
        <v>3133</v>
      </c>
      <c r="M66" s="491" t="s">
        <v>2933</v>
      </c>
      <c r="N66" s="486" t="s">
        <v>3133</v>
      </c>
      <c r="O66" s="512" t="s">
        <v>2950</v>
      </c>
      <c r="P66" s="517" t="s">
        <v>2902</v>
      </c>
      <c r="Q66" s="491">
        <v>4</v>
      </c>
      <c r="R66" s="381" t="s">
        <v>2946</v>
      </c>
      <c r="S66" s="382" t="s">
        <v>52</v>
      </c>
      <c r="T66" s="382" t="s">
        <v>52</v>
      </c>
      <c r="U66" s="390" t="s">
        <v>52</v>
      </c>
      <c r="V66" s="398" t="s">
        <v>52</v>
      </c>
      <c r="W66" s="398" t="s">
        <v>52</v>
      </c>
      <c r="X66" s="489">
        <v>707</v>
      </c>
      <c r="Y66" s="398" t="s">
        <v>52</v>
      </c>
      <c r="Z66" s="520" t="s">
        <v>52</v>
      </c>
      <c r="AA66" s="398" t="s">
        <v>52</v>
      </c>
      <c r="AB66" s="491">
        <v>707</v>
      </c>
      <c r="AC66" s="398" t="s">
        <v>52</v>
      </c>
      <c r="AD66" s="491" t="s">
        <v>52</v>
      </c>
      <c r="AE66" s="404" t="s">
        <v>52</v>
      </c>
      <c r="AF66" s="398" t="s">
        <v>52</v>
      </c>
      <c r="AG66" s="398" t="s">
        <v>52</v>
      </c>
      <c r="AH66" s="398" t="s">
        <v>52</v>
      </c>
      <c r="AI66" s="398" t="s">
        <v>52</v>
      </c>
      <c r="AJ66" s="483" t="s">
        <v>54</v>
      </c>
      <c r="AK66" s="483" t="s">
        <v>54</v>
      </c>
      <c r="AL66" s="483" t="s">
        <v>54</v>
      </c>
      <c r="AM66" s="483" t="s">
        <v>54</v>
      </c>
      <c r="AN66" s="483" t="s">
        <v>54</v>
      </c>
      <c r="AO66" s="483" t="s">
        <v>54</v>
      </c>
      <c r="AP66" s="381" t="s">
        <v>54</v>
      </c>
      <c r="AQ66" s="486" t="s">
        <v>54</v>
      </c>
      <c r="AR66" s="381" t="s">
        <v>54</v>
      </c>
      <c r="AS66" s="385" t="s">
        <v>54</v>
      </c>
      <c r="AT66" s="385" t="s">
        <v>54</v>
      </c>
      <c r="AU66" s="381" t="s">
        <v>54</v>
      </c>
      <c r="AV66" s="381" t="s">
        <v>54</v>
      </c>
      <c r="AW66" s="381" t="s">
        <v>54</v>
      </c>
      <c r="AX66" s="381" t="s">
        <v>54</v>
      </c>
      <c r="AY66" s="386" t="s">
        <v>54</v>
      </c>
      <c r="AZ66" s="392" t="s">
        <v>54</v>
      </c>
      <c r="BA66" s="489" t="s">
        <v>54</v>
      </c>
      <c r="BB66" s="392" t="s">
        <v>54</v>
      </c>
      <c r="BC66" s="489" t="s">
        <v>54</v>
      </c>
      <c r="BD66" s="392" t="s">
        <v>54</v>
      </c>
      <c r="BE66" s="392" t="s">
        <v>54</v>
      </c>
      <c r="BF66" s="392" t="s">
        <v>54</v>
      </c>
      <c r="BG66" s="381" t="s">
        <v>54</v>
      </c>
      <c r="BH66" s="381" t="s">
        <v>54</v>
      </c>
      <c r="BI66" s="381" t="s">
        <v>54</v>
      </c>
      <c r="BJ66" s="381" t="s">
        <v>54</v>
      </c>
      <c r="BK66" s="381" t="s">
        <v>54</v>
      </c>
      <c r="BL66" s="381" t="s">
        <v>54</v>
      </c>
      <c r="BM66" s="381" t="s">
        <v>54</v>
      </c>
      <c r="BN66" s="381" t="s">
        <v>54</v>
      </c>
      <c r="BO66" s="381" t="s">
        <v>54</v>
      </c>
      <c r="BP66" s="381" t="s">
        <v>54</v>
      </c>
      <c r="BQ66" s="381" t="s">
        <v>54</v>
      </c>
      <c r="BR66" s="381" t="s">
        <v>54</v>
      </c>
      <c r="BS66" s="381" t="s">
        <v>54</v>
      </c>
      <c r="BT66" s="381" t="s">
        <v>54</v>
      </c>
      <c r="BU66" s="383" t="s">
        <v>54</v>
      </c>
      <c r="BV66" s="381" t="s">
        <v>54</v>
      </c>
      <c r="BW66" s="381" t="s">
        <v>54</v>
      </c>
      <c r="BX66" s="381" t="s">
        <v>54</v>
      </c>
      <c r="BY66" s="381" t="s">
        <v>54</v>
      </c>
      <c r="BZ66" s="381" t="s">
        <v>54</v>
      </c>
      <c r="CA66" s="381" t="s">
        <v>54</v>
      </c>
      <c r="CB66" s="381" t="s">
        <v>54</v>
      </c>
      <c r="CC66" s="381" t="s">
        <v>54</v>
      </c>
      <c r="CD66" s="381" t="s">
        <v>54</v>
      </c>
      <c r="CE66" s="383" t="s">
        <v>54</v>
      </c>
      <c r="CF66" s="381" t="s">
        <v>54</v>
      </c>
      <c r="CG66" s="381" t="s">
        <v>54</v>
      </c>
      <c r="CH66" s="381" t="s">
        <v>54</v>
      </c>
      <c r="CI66" s="383" t="s">
        <v>54</v>
      </c>
      <c r="CJ66" s="381" t="s">
        <v>54</v>
      </c>
      <c r="CK66" s="381" t="s">
        <v>54</v>
      </c>
      <c r="CL66" s="381" t="s">
        <v>54</v>
      </c>
      <c r="CM66" s="483" t="s">
        <v>54</v>
      </c>
      <c r="CN66" s="483" t="s">
        <v>54</v>
      </c>
      <c r="CO66" s="491" t="s">
        <v>54</v>
      </c>
      <c r="CP66" s="491" t="s">
        <v>54</v>
      </c>
      <c r="CQ66" s="491" t="s">
        <v>54</v>
      </c>
      <c r="CR66" s="491" t="s">
        <v>54</v>
      </c>
      <c r="CS66" s="491" t="s">
        <v>54</v>
      </c>
      <c r="CT66" s="491" t="s">
        <v>2024</v>
      </c>
      <c r="CU66" s="491">
        <v>2017</v>
      </c>
      <c r="CV66" s="491" t="s">
        <v>2865</v>
      </c>
      <c r="CW66" s="491" t="s">
        <v>1975</v>
      </c>
      <c r="CX66" s="491" t="s">
        <v>3074</v>
      </c>
      <c r="CY66" s="491" t="s">
        <v>3075</v>
      </c>
      <c r="CZ66" s="491" t="s">
        <v>2951</v>
      </c>
      <c r="DA66" s="491" t="s">
        <v>52</v>
      </c>
      <c r="DB66" s="491" t="s">
        <v>2952</v>
      </c>
      <c r="DC66" s="491" t="s">
        <v>54</v>
      </c>
      <c r="DD66" s="491" t="s">
        <v>54</v>
      </c>
      <c r="DE66" s="491" t="s">
        <v>54</v>
      </c>
      <c r="DF66" s="491" t="s">
        <v>54</v>
      </c>
      <c r="DG66" s="495" t="s">
        <v>54</v>
      </c>
      <c r="DH66" s="495" t="s">
        <v>54</v>
      </c>
      <c r="DI66" s="495" t="s">
        <v>54</v>
      </c>
      <c r="DJ66" s="495" t="s">
        <v>54</v>
      </c>
      <c r="DK66" s="495" t="s">
        <v>54</v>
      </c>
      <c r="DL66" s="495" t="s">
        <v>54</v>
      </c>
      <c r="DM66" s="381" t="s">
        <v>54</v>
      </c>
      <c r="DN66" s="486" t="s">
        <v>54</v>
      </c>
      <c r="DO66" s="381" t="s">
        <v>54</v>
      </c>
      <c r="DP66" s="385" t="s">
        <v>54</v>
      </c>
      <c r="DQ66" s="385" t="s">
        <v>54</v>
      </c>
      <c r="DR66" s="381" t="s">
        <v>54</v>
      </c>
      <c r="DS66" s="381" t="s">
        <v>54</v>
      </c>
      <c r="DT66" s="381" t="s">
        <v>54</v>
      </c>
      <c r="DU66" s="381" t="s">
        <v>54</v>
      </c>
      <c r="DV66" s="381" t="s">
        <v>54</v>
      </c>
      <c r="DW66" s="381" t="s">
        <v>54</v>
      </c>
      <c r="DX66" s="489" t="s">
        <v>54</v>
      </c>
      <c r="DY66" s="405" t="s">
        <v>54</v>
      </c>
      <c r="DZ66" s="489" t="s">
        <v>54</v>
      </c>
      <c r="EA66" s="405" t="s">
        <v>54</v>
      </c>
      <c r="EB66" s="405" t="s">
        <v>54</v>
      </c>
      <c r="EC66" s="405" t="s">
        <v>54</v>
      </c>
      <c r="ED66" s="381" t="s">
        <v>54</v>
      </c>
      <c r="EE66" s="381" t="s">
        <v>54</v>
      </c>
      <c r="EF66" s="381" t="s">
        <v>54</v>
      </c>
      <c r="EG66" s="381" t="s">
        <v>54</v>
      </c>
      <c r="EH66" s="381" t="s">
        <v>54</v>
      </c>
      <c r="EI66" s="381" t="s">
        <v>54</v>
      </c>
      <c r="EJ66" s="381" t="s">
        <v>54</v>
      </c>
      <c r="EK66" s="381" t="s">
        <v>54</v>
      </c>
      <c r="EL66" s="381" t="s">
        <v>54</v>
      </c>
      <c r="EM66" s="381" t="s">
        <v>54</v>
      </c>
      <c r="EN66" s="381" t="s">
        <v>54</v>
      </c>
      <c r="EO66" s="381" t="s">
        <v>54</v>
      </c>
      <c r="EP66" s="381" t="s">
        <v>54</v>
      </c>
      <c r="EQ66" s="381" t="s">
        <v>54</v>
      </c>
      <c r="ER66" s="381" t="s">
        <v>54</v>
      </c>
      <c r="ES66" s="381" t="s">
        <v>54</v>
      </c>
      <c r="ET66" s="381" t="s">
        <v>54</v>
      </c>
      <c r="EU66" s="381" t="s">
        <v>54</v>
      </c>
    </row>
    <row r="67" spans="1:151" s="1" customFormat="1" ht="19.899999999999999" customHeight="1">
      <c r="A67" s="492"/>
      <c r="B67" s="492"/>
      <c r="C67" s="487"/>
      <c r="D67" s="509"/>
      <c r="E67" s="506"/>
      <c r="F67" s="509"/>
      <c r="G67" s="513"/>
      <c r="H67" s="509"/>
      <c r="I67" s="509"/>
      <c r="J67" s="509"/>
      <c r="K67" s="492"/>
      <c r="L67" s="496"/>
      <c r="M67" s="492"/>
      <c r="N67" s="487"/>
      <c r="O67" s="513"/>
      <c r="P67" s="518"/>
      <c r="Q67" s="492"/>
      <c r="R67" s="381" t="s">
        <v>2947</v>
      </c>
      <c r="S67" s="382" t="s">
        <v>52</v>
      </c>
      <c r="T67" s="382" t="s">
        <v>52</v>
      </c>
      <c r="U67" s="390" t="s">
        <v>52</v>
      </c>
      <c r="V67" s="398" t="s">
        <v>52</v>
      </c>
      <c r="W67" s="398" t="s">
        <v>52</v>
      </c>
      <c r="X67" s="490"/>
      <c r="Y67" s="398" t="s">
        <v>52</v>
      </c>
      <c r="Z67" s="521"/>
      <c r="AA67" s="398" t="s">
        <v>52</v>
      </c>
      <c r="AB67" s="492"/>
      <c r="AC67" s="398" t="s">
        <v>52</v>
      </c>
      <c r="AD67" s="492"/>
      <c r="AE67" s="404" t="s">
        <v>52</v>
      </c>
      <c r="AF67" s="398" t="s">
        <v>52</v>
      </c>
      <c r="AG67" s="398" t="s">
        <v>52</v>
      </c>
      <c r="AH67" s="398" t="s">
        <v>52</v>
      </c>
      <c r="AI67" s="398" t="s">
        <v>52</v>
      </c>
      <c r="AJ67" s="484"/>
      <c r="AK67" s="484"/>
      <c r="AL67" s="484"/>
      <c r="AM67" s="484"/>
      <c r="AN67" s="484"/>
      <c r="AO67" s="484"/>
      <c r="AP67" s="381" t="s">
        <v>54</v>
      </c>
      <c r="AQ67" s="487"/>
      <c r="AR67" s="381" t="s">
        <v>54</v>
      </c>
      <c r="AS67" s="385" t="s">
        <v>54</v>
      </c>
      <c r="AT67" s="385" t="s">
        <v>54</v>
      </c>
      <c r="AU67" s="381" t="s">
        <v>54</v>
      </c>
      <c r="AV67" s="381" t="s">
        <v>54</v>
      </c>
      <c r="AW67" s="381" t="s">
        <v>54</v>
      </c>
      <c r="AX67" s="381" t="s">
        <v>54</v>
      </c>
      <c r="AY67" s="386" t="s">
        <v>54</v>
      </c>
      <c r="AZ67" s="392" t="s">
        <v>54</v>
      </c>
      <c r="BA67" s="490"/>
      <c r="BB67" s="392" t="s">
        <v>54</v>
      </c>
      <c r="BC67" s="490"/>
      <c r="BD67" s="392" t="s">
        <v>54</v>
      </c>
      <c r="BE67" s="392" t="s">
        <v>54</v>
      </c>
      <c r="BF67" s="392" t="s">
        <v>54</v>
      </c>
      <c r="BG67" s="381" t="s">
        <v>54</v>
      </c>
      <c r="BH67" s="381" t="s">
        <v>54</v>
      </c>
      <c r="BI67" s="381" t="s">
        <v>54</v>
      </c>
      <c r="BJ67" s="381" t="s">
        <v>54</v>
      </c>
      <c r="BK67" s="381" t="s">
        <v>54</v>
      </c>
      <c r="BL67" s="381" t="s">
        <v>54</v>
      </c>
      <c r="BM67" s="381" t="s">
        <v>54</v>
      </c>
      <c r="BN67" s="381" t="s">
        <v>54</v>
      </c>
      <c r="BO67" s="381" t="s">
        <v>54</v>
      </c>
      <c r="BP67" s="381" t="s">
        <v>54</v>
      </c>
      <c r="BQ67" s="381" t="s">
        <v>54</v>
      </c>
      <c r="BR67" s="381" t="s">
        <v>54</v>
      </c>
      <c r="BS67" s="381" t="s">
        <v>54</v>
      </c>
      <c r="BT67" s="381" t="s">
        <v>54</v>
      </c>
      <c r="BU67" s="383" t="s">
        <v>54</v>
      </c>
      <c r="BV67" s="381" t="s">
        <v>54</v>
      </c>
      <c r="BW67" s="381" t="s">
        <v>54</v>
      </c>
      <c r="BX67" s="381" t="s">
        <v>54</v>
      </c>
      <c r="BY67" s="381" t="s">
        <v>54</v>
      </c>
      <c r="BZ67" s="381" t="s">
        <v>54</v>
      </c>
      <c r="CA67" s="381" t="s">
        <v>54</v>
      </c>
      <c r="CB67" s="381" t="s">
        <v>54</v>
      </c>
      <c r="CC67" s="381" t="s">
        <v>54</v>
      </c>
      <c r="CD67" s="381" t="s">
        <v>54</v>
      </c>
      <c r="CE67" s="383" t="s">
        <v>54</v>
      </c>
      <c r="CF67" s="381" t="s">
        <v>54</v>
      </c>
      <c r="CG67" s="381" t="s">
        <v>54</v>
      </c>
      <c r="CH67" s="381" t="s">
        <v>54</v>
      </c>
      <c r="CI67" s="383" t="s">
        <v>54</v>
      </c>
      <c r="CJ67" s="381" t="s">
        <v>54</v>
      </c>
      <c r="CK67" s="381" t="s">
        <v>54</v>
      </c>
      <c r="CL67" s="381" t="s">
        <v>54</v>
      </c>
      <c r="CM67" s="499"/>
      <c r="CN67" s="499"/>
      <c r="CO67" s="492"/>
      <c r="CP67" s="492"/>
      <c r="CQ67" s="492"/>
      <c r="CR67" s="492"/>
      <c r="CS67" s="492"/>
      <c r="CT67" s="492"/>
      <c r="CU67" s="492"/>
      <c r="CV67" s="492"/>
      <c r="CW67" s="492"/>
      <c r="CX67" s="492"/>
      <c r="CY67" s="492"/>
      <c r="CZ67" s="492"/>
      <c r="DA67" s="492"/>
      <c r="DB67" s="492"/>
      <c r="DC67" s="492"/>
      <c r="DD67" s="492"/>
      <c r="DE67" s="492"/>
      <c r="DF67" s="492"/>
      <c r="DG67" s="496"/>
      <c r="DH67" s="496"/>
      <c r="DI67" s="496"/>
      <c r="DJ67" s="496"/>
      <c r="DK67" s="496"/>
      <c r="DL67" s="496"/>
      <c r="DM67" s="381" t="s">
        <v>54</v>
      </c>
      <c r="DN67" s="487"/>
      <c r="DO67" s="381" t="s">
        <v>54</v>
      </c>
      <c r="DP67" s="385" t="s">
        <v>54</v>
      </c>
      <c r="DQ67" s="385" t="s">
        <v>54</v>
      </c>
      <c r="DR67" s="381" t="s">
        <v>54</v>
      </c>
      <c r="DS67" s="381" t="s">
        <v>54</v>
      </c>
      <c r="DT67" s="381" t="s">
        <v>54</v>
      </c>
      <c r="DU67" s="381" t="s">
        <v>54</v>
      </c>
      <c r="DV67" s="381" t="s">
        <v>54</v>
      </c>
      <c r="DW67" s="381" t="s">
        <v>54</v>
      </c>
      <c r="DX67" s="490"/>
      <c r="DY67" s="405" t="s">
        <v>54</v>
      </c>
      <c r="DZ67" s="490"/>
      <c r="EA67" s="405" t="s">
        <v>54</v>
      </c>
      <c r="EB67" s="405" t="s">
        <v>54</v>
      </c>
      <c r="EC67" s="405" t="s">
        <v>54</v>
      </c>
      <c r="ED67" s="381" t="s">
        <v>54</v>
      </c>
      <c r="EE67" s="381" t="s">
        <v>54</v>
      </c>
      <c r="EF67" s="381" t="s">
        <v>54</v>
      </c>
      <c r="EG67" s="381" t="s">
        <v>54</v>
      </c>
      <c r="EH67" s="381" t="s">
        <v>54</v>
      </c>
      <c r="EI67" s="381" t="s">
        <v>54</v>
      </c>
      <c r="EJ67" s="381" t="s">
        <v>54</v>
      </c>
      <c r="EK67" s="381" t="s">
        <v>54</v>
      </c>
      <c r="EL67" s="381" t="s">
        <v>54</v>
      </c>
      <c r="EM67" s="381" t="s">
        <v>54</v>
      </c>
      <c r="EN67" s="381" t="s">
        <v>54</v>
      </c>
      <c r="EO67" s="381" t="s">
        <v>54</v>
      </c>
      <c r="EP67" s="381" t="s">
        <v>54</v>
      </c>
      <c r="EQ67" s="381" t="s">
        <v>54</v>
      </c>
      <c r="ER67" s="381" t="s">
        <v>54</v>
      </c>
      <c r="ES67" s="381" t="s">
        <v>54</v>
      </c>
      <c r="ET67" s="381" t="s">
        <v>54</v>
      </c>
      <c r="EU67" s="381" t="s">
        <v>54</v>
      </c>
    </row>
    <row r="68" spans="1:151" s="1" customFormat="1" ht="19.899999999999999" customHeight="1">
      <c r="A68" s="493"/>
      <c r="B68" s="493"/>
      <c r="C68" s="487"/>
      <c r="D68" s="510"/>
      <c r="E68" s="507"/>
      <c r="F68" s="510"/>
      <c r="G68" s="514"/>
      <c r="H68" s="510"/>
      <c r="I68" s="510"/>
      <c r="J68" s="510"/>
      <c r="K68" s="493"/>
      <c r="L68" s="497"/>
      <c r="M68" s="493"/>
      <c r="N68" s="487"/>
      <c r="O68" s="514"/>
      <c r="P68" s="518"/>
      <c r="Q68" s="493"/>
      <c r="R68" s="381" t="s">
        <v>2948</v>
      </c>
      <c r="S68" s="382" t="s">
        <v>52</v>
      </c>
      <c r="T68" s="382" t="s">
        <v>52</v>
      </c>
      <c r="U68" s="398" t="s">
        <v>52</v>
      </c>
      <c r="V68" s="398" t="s">
        <v>52</v>
      </c>
      <c r="W68" s="398" t="s">
        <v>52</v>
      </c>
      <c r="X68" s="490"/>
      <c r="Y68" s="398" t="s">
        <v>52</v>
      </c>
      <c r="Z68" s="521"/>
      <c r="AA68" s="398" t="s">
        <v>52</v>
      </c>
      <c r="AB68" s="493"/>
      <c r="AC68" s="398" t="s">
        <v>52</v>
      </c>
      <c r="AD68" s="493"/>
      <c r="AE68" s="404" t="s">
        <v>52</v>
      </c>
      <c r="AF68" s="398" t="s">
        <v>52</v>
      </c>
      <c r="AG68" s="398" t="s">
        <v>52</v>
      </c>
      <c r="AH68" s="398" t="s">
        <v>52</v>
      </c>
      <c r="AI68" s="398" t="s">
        <v>52</v>
      </c>
      <c r="AJ68" s="484"/>
      <c r="AK68" s="484"/>
      <c r="AL68" s="484"/>
      <c r="AM68" s="484"/>
      <c r="AN68" s="484"/>
      <c r="AO68" s="484"/>
      <c r="AP68" s="381" t="s">
        <v>54</v>
      </c>
      <c r="AQ68" s="487"/>
      <c r="AR68" s="381" t="s">
        <v>54</v>
      </c>
      <c r="AS68" s="385" t="s">
        <v>54</v>
      </c>
      <c r="AT68" s="385" t="s">
        <v>54</v>
      </c>
      <c r="AU68" s="381" t="s">
        <v>54</v>
      </c>
      <c r="AV68" s="381" t="s">
        <v>54</v>
      </c>
      <c r="AW68" s="381" t="s">
        <v>54</v>
      </c>
      <c r="AX68" s="381" t="s">
        <v>54</v>
      </c>
      <c r="AY68" s="386" t="s">
        <v>54</v>
      </c>
      <c r="AZ68" s="392" t="s">
        <v>54</v>
      </c>
      <c r="BA68" s="490"/>
      <c r="BB68" s="392" t="s">
        <v>54</v>
      </c>
      <c r="BC68" s="490"/>
      <c r="BD68" s="392" t="s">
        <v>54</v>
      </c>
      <c r="BE68" s="392" t="s">
        <v>54</v>
      </c>
      <c r="BF68" s="392" t="s">
        <v>54</v>
      </c>
      <c r="BG68" s="381" t="s">
        <v>54</v>
      </c>
      <c r="BH68" s="381" t="s">
        <v>54</v>
      </c>
      <c r="BI68" s="381" t="s">
        <v>54</v>
      </c>
      <c r="BJ68" s="381" t="s">
        <v>54</v>
      </c>
      <c r="BK68" s="381" t="s">
        <v>54</v>
      </c>
      <c r="BL68" s="381" t="s">
        <v>54</v>
      </c>
      <c r="BM68" s="381" t="s">
        <v>54</v>
      </c>
      <c r="BN68" s="381" t="s">
        <v>54</v>
      </c>
      <c r="BO68" s="381" t="s">
        <v>54</v>
      </c>
      <c r="BP68" s="381" t="s">
        <v>54</v>
      </c>
      <c r="BQ68" s="381" t="s">
        <v>54</v>
      </c>
      <c r="BR68" s="381" t="s">
        <v>54</v>
      </c>
      <c r="BS68" s="381" t="s">
        <v>54</v>
      </c>
      <c r="BT68" s="381" t="s">
        <v>54</v>
      </c>
      <c r="BU68" s="383" t="s">
        <v>54</v>
      </c>
      <c r="BV68" s="381" t="s">
        <v>54</v>
      </c>
      <c r="BW68" s="381" t="s">
        <v>54</v>
      </c>
      <c r="BX68" s="381" t="s">
        <v>54</v>
      </c>
      <c r="BY68" s="381" t="s">
        <v>54</v>
      </c>
      <c r="BZ68" s="381" t="s">
        <v>54</v>
      </c>
      <c r="CA68" s="381" t="s">
        <v>54</v>
      </c>
      <c r="CB68" s="381" t="s">
        <v>54</v>
      </c>
      <c r="CC68" s="381" t="s">
        <v>54</v>
      </c>
      <c r="CD68" s="381" t="s">
        <v>54</v>
      </c>
      <c r="CE68" s="383" t="s">
        <v>54</v>
      </c>
      <c r="CF68" s="381" t="s">
        <v>54</v>
      </c>
      <c r="CG68" s="381" t="s">
        <v>54</v>
      </c>
      <c r="CH68" s="381" t="s">
        <v>54</v>
      </c>
      <c r="CI68" s="383" t="s">
        <v>54</v>
      </c>
      <c r="CJ68" s="381" t="s">
        <v>54</v>
      </c>
      <c r="CK68" s="381" t="s">
        <v>54</v>
      </c>
      <c r="CL68" s="381" t="s">
        <v>54</v>
      </c>
      <c r="CM68" s="499"/>
      <c r="CN68" s="499"/>
      <c r="CO68" s="493"/>
      <c r="CP68" s="493"/>
      <c r="CQ68" s="493"/>
      <c r="CR68" s="493"/>
      <c r="CS68" s="493"/>
      <c r="CT68" s="493"/>
      <c r="CU68" s="493"/>
      <c r="CV68" s="493"/>
      <c r="CW68" s="493"/>
      <c r="CX68" s="493"/>
      <c r="CY68" s="493"/>
      <c r="CZ68" s="493"/>
      <c r="DA68" s="493"/>
      <c r="DB68" s="493"/>
      <c r="DC68" s="493"/>
      <c r="DD68" s="493"/>
      <c r="DE68" s="493"/>
      <c r="DF68" s="493"/>
      <c r="DG68" s="497"/>
      <c r="DH68" s="497"/>
      <c r="DI68" s="497"/>
      <c r="DJ68" s="497"/>
      <c r="DK68" s="497"/>
      <c r="DL68" s="497"/>
      <c r="DM68" s="381" t="s">
        <v>54</v>
      </c>
      <c r="DN68" s="487"/>
      <c r="DO68" s="381" t="s">
        <v>54</v>
      </c>
      <c r="DP68" s="385" t="s">
        <v>54</v>
      </c>
      <c r="DQ68" s="385" t="s">
        <v>54</v>
      </c>
      <c r="DR68" s="381" t="s">
        <v>54</v>
      </c>
      <c r="DS68" s="381" t="s">
        <v>54</v>
      </c>
      <c r="DT68" s="381" t="s">
        <v>54</v>
      </c>
      <c r="DU68" s="381" t="s">
        <v>54</v>
      </c>
      <c r="DV68" s="381" t="s">
        <v>54</v>
      </c>
      <c r="DW68" s="381" t="s">
        <v>54</v>
      </c>
      <c r="DX68" s="490"/>
      <c r="DY68" s="405" t="s">
        <v>54</v>
      </c>
      <c r="DZ68" s="490"/>
      <c r="EA68" s="405" t="s">
        <v>54</v>
      </c>
      <c r="EB68" s="405" t="s">
        <v>54</v>
      </c>
      <c r="EC68" s="405" t="s">
        <v>54</v>
      </c>
      <c r="ED68" s="381" t="s">
        <v>54</v>
      </c>
      <c r="EE68" s="381" t="s">
        <v>54</v>
      </c>
      <c r="EF68" s="381" t="s">
        <v>54</v>
      </c>
      <c r="EG68" s="381" t="s">
        <v>54</v>
      </c>
      <c r="EH68" s="381" t="s">
        <v>54</v>
      </c>
      <c r="EI68" s="381" t="s">
        <v>54</v>
      </c>
      <c r="EJ68" s="381" t="s">
        <v>54</v>
      </c>
      <c r="EK68" s="381" t="s">
        <v>54</v>
      </c>
      <c r="EL68" s="381" t="s">
        <v>54</v>
      </c>
      <c r="EM68" s="381" t="s">
        <v>54</v>
      </c>
      <c r="EN68" s="381" t="s">
        <v>54</v>
      </c>
      <c r="EO68" s="381" t="s">
        <v>54</v>
      </c>
      <c r="EP68" s="381" t="s">
        <v>54</v>
      </c>
      <c r="EQ68" s="381" t="s">
        <v>54</v>
      </c>
      <c r="ER68" s="381" t="s">
        <v>54</v>
      </c>
      <c r="ES68" s="381" t="s">
        <v>54</v>
      </c>
      <c r="ET68" s="381" t="s">
        <v>54</v>
      </c>
      <c r="EU68" s="381" t="s">
        <v>54</v>
      </c>
    </row>
    <row r="69" spans="1:151" s="1" customFormat="1" ht="19.899999999999999" customHeight="1">
      <c r="A69" s="494"/>
      <c r="B69" s="494"/>
      <c r="C69" s="488"/>
      <c r="D69" s="511"/>
      <c r="E69" s="508"/>
      <c r="F69" s="511"/>
      <c r="G69" s="515"/>
      <c r="H69" s="511"/>
      <c r="I69" s="511"/>
      <c r="J69" s="511"/>
      <c r="K69" s="494"/>
      <c r="L69" s="498"/>
      <c r="M69" s="494"/>
      <c r="N69" s="488"/>
      <c r="O69" s="515"/>
      <c r="P69" s="519"/>
      <c r="Q69" s="494"/>
      <c r="R69" s="381" t="s">
        <v>2949</v>
      </c>
      <c r="S69" s="382" t="s">
        <v>52</v>
      </c>
      <c r="T69" s="382" t="s">
        <v>52</v>
      </c>
      <c r="U69" s="398" t="s">
        <v>52</v>
      </c>
      <c r="V69" s="398" t="s">
        <v>52</v>
      </c>
      <c r="W69" s="398" t="s">
        <v>52</v>
      </c>
      <c r="X69" s="490"/>
      <c r="Y69" s="398" t="s">
        <v>52</v>
      </c>
      <c r="Z69" s="521"/>
      <c r="AA69" s="398" t="s">
        <v>52</v>
      </c>
      <c r="AB69" s="494"/>
      <c r="AC69" s="398" t="s">
        <v>52</v>
      </c>
      <c r="AD69" s="494"/>
      <c r="AE69" s="404" t="s">
        <v>52</v>
      </c>
      <c r="AF69" s="398" t="s">
        <v>52</v>
      </c>
      <c r="AG69" s="398" t="s">
        <v>52</v>
      </c>
      <c r="AH69" s="398" t="s">
        <v>52</v>
      </c>
      <c r="AI69" s="398" t="s">
        <v>52</v>
      </c>
      <c r="AJ69" s="485"/>
      <c r="AK69" s="485"/>
      <c r="AL69" s="485"/>
      <c r="AM69" s="485"/>
      <c r="AN69" s="485"/>
      <c r="AO69" s="485"/>
      <c r="AP69" s="381" t="s">
        <v>54</v>
      </c>
      <c r="AQ69" s="488"/>
      <c r="AR69" s="381" t="s">
        <v>54</v>
      </c>
      <c r="AS69" s="385" t="s">
        <v>54</v>
      </c>
      <c r="AT69" s="385" t="s">
        <v>54</v>
      </c>
      <c r="AU69" s="381" t="s">
        <v>54</v>
      </c>
      <c r="AV69" s="381" t="s">
        <v>54</v>
      </c>
      <c r="AW69" s="381" t="s">
        <v>54</v>
      </c>
      <c r="AX69" s="381" t="s">
        <v>54</v>
      </c>
      <c r="AY69" s="386" t="s">
        <v>54</v>
      </c>
      <c r="AZ69" s="392" t="s">
        <v>54</v>
      </c>
      <c r="BA69" s="490"/>
      <c r="BB69" s="392" t="s">
        <v>54</v>
      </c>
      <c r="BC69" s="490"/>
      <c r="BD69" s="392" t="s">
        <v>54</v>
      </c>
      <c r="BE69" s="392" t="s">
        <v>54</v>
      </c>
      <c r="BF69" s="392" t="s">
        <v>54</v>
      </c>
      <c r="BG69" s="381" t="s">
        <v>54</v>
      </c>
      <c r="BH69" s="381" t="s">
        <v>54</v>
      </c>
      <c r="BI69" s="381" t="s">
        <v>54</v>
      </c>
      <c r="BJ69" s="381" t="s">
        <v>54</v>
      </c>
      <c r="BK69" s="381" t="s">
        <v>54</v>
      </c>
      <c r="BL69" s="381" t="s">
        <v>54</v>
      </c>
      <c r="BM69" s="381" t="s">
        <v>54</v>
      </c>
      <c r="BN69" s="381" t="s">
        <v>54</v>
      </c>
      <c r="BO69" s="381" t="s">
        <v>54</v>
      </c>
      <c r="BP69" s="381" t="s">
        <v>54</v>
      </c>
      <c r="BQ69" s="381" t="s">
        <v>54</v>
      </c>
      <c r="BR69" s="381" t="s">
        <v>54</v>
      </c>
      <c r="BS69" s="381" t="s">
        <v>54</v>
      </c>
      <c r="BT69" s="381" t="s">
        <v>54</v>
      </c>
      <c r="BU69" s="383" t="s">
        <v>54</v>
      </c>
      <c r="BV69" s="381" t="s">
        <v>54</v>
      </c>
      <c r="BW69" s="381" t="s">
        <v>54</v>
      </c>
      <c r="BX69" s="381" t="s">
        <v>54</v>
      </c>
      <c r="BY69" s="381" t="s">
        <v>54</v>
      </c>
      <c r="BZ69" s="381" t="s">
        <v>54</v>
      </c>
      <c r="CA69" s="381" t="s">
        <v>54</v>
      </c>
      <c r="CB69" s="381" t="s">
        <v>54</v>
      </c>
      <c r="CC69" s="381" t="s">
        <v>54</v>
      </c>
      <c r="CD69" s="381" t="s">
        <v>54</v>
      </c>
      <c r="CE69" s="383" t="s">
        <v>54</v>
      </c>
      <c r="CF69" s="381" t="s">
        <v>54</v>
      </c>
      <c r="CG69" s="381" t="s">
        <v>54</v>
      </c>
      <c r="CH69" s="381" t="s">
        <v>54</v>
      </c>
      <c r="CI69" s="383" t="s">
        <v>54</v>
      </c>
      <c r="CJ69" s="381" t="s">
        <v>54</v>
      </c>
      <c r="CK69" s="381" t="s">
        <v>54</v>
      </c>
      <c r="CL69" s="381" t="s">
        <v>54</v>
      </c>
      <c r="CM69" s="500"/>
      <c r="CN69" s="500"/>
      <c r="CO69" s="494"/>
      <c r="CP69" s="494"/>
      <c r="CQ69" s="494"/>
      <c r="CR69" s="494"/>
      <c r="CS69" s="494"/>
      <c r="CT69" s="494"/>
      <c r="CU69" s="494"/>
      <c r="CV69" s="494"/>
      <c r="CW69" s="494"/>
      <c r="CX69" s="494"/>
      <c r="CY69" s="494"/>
      <c r="CZ69" s="494"/>
      <c r="DA69" s="494"/>
      <c r="DB69" s="494"/>
      <c r="DC69" s="494"/>
      <c r="DD69" s="494"/>
      <c r="DE69" s="494"/>
      <c r="DF69" s="494"/>
      <c r="DG69" s="498"/>
      <c r="DH69" s="498"/>
      <c r="DI69" s="498"/>
      <c r="DJ69" s="498"/>
      <c r="DK69" s="498"/>
      <c r="DL69" s="498"/>
      <c r="DM69" s="381" t="s">
        <v>54</v>
      </c>
      <c r="DN69" s="488"/>
      <c r="DO69" s="381" t="s">
        <v>54</v>
      </c>
      <c r="DP69" s="385" t="s">
        <v>54</v>
      </c>
      <c r="DQ69" s="385" t="s">
        <v>54</v>
      </c>
      <c r="DR69" s="381" t="s">
        <v>54</v>
      </c>
      <c r="DS69" s="381" t="s">
        <v>54</v>
      </c>
      <c r="DT69" s="381" t="s">
        <v>54</v>
      </c>
      <c r="DU69" s="381" t="s">
        <v>54</v>
      </c>
      <c r="DV69" s="381" t="s">
        <v>54</v>
      </c>
      <c r="DW69" s="381" t="s">
        <v>54</v>
      </c>
      <c r="DX69" s="490"/>
      <c r="DY69" s="405" t="s">
        <v>54</v>
      </c>
      <c r="DZ69" s="490"/>
      <c r="EA69" s="405" t="s">
        <v>54</v>
      </c>
      <c r="EB69" s="405" t="s">
        <v>54</v>
      </c>
      <c r="EC69" s="405" t="s">
        <v>54</v>
      </c>
      <c r="ED69" s="381" t="s">
        <v>54</v>
      </c>
      <c r="EE69" s="381" t="s">
        <v>54</v>
      </c>
      <c r="EF69" s="381" t="s">
        <v>54</v>
      </c>
      <c r="EG69" s="381" t="s">
        <v>54</v>
      </c>
      <c r="EH69" s="381" t="s">
        <v>54</v>
      </c>
      <c r="EI69" s="381" t="s">
        <v>54</v>
      </c>
      <c r="EJ69" s="381" t="s">
        <v>54</v>
      </c>
      <c r="EK69" s="381" t="s">
        <v>54</v>
      </c>
      <c r="EL69" s="381" t="s">
        <v>54</v>
      </c>
      <c r="EM69" s="381" t="s">
        <v>54</v>
      </c>
      <c r="EN69" s="381" t="s">
        <v>54</v>
      </c>
      <c r="EO69" s="381" t="s">
        <v>54</v>
      </c>
      <c r="EP69" s="381" t="s">
        <v>54</v>
      </c>
      <c r="EQ69" s="381" t="s">
        <v>54</v>
      </c>
      <c r="ER69" s="381" t="s">
        <v>54</v>
      </c>
      <c r="ES69" s="381" t="s">
        <v>54</v>
      </c>
      <c r="ET69" s="381" t="s">
        <v>54</v>
      </c>
      <c r="EU69" s="381" t="s">
        <v>54</v>
      </c>
    </row>
    <row r="70" spans="1:151" s="1" customFormat="1" ht="19.899999999999999" customHeight="1">
      <c r="A70" s="491">
        <v>4</v>
      </c>
      <c r="B70" s="491">
        <v>4</v>
      </c>
      <c r="C70" s="486" t="s">
        <v>2797</v>
      </c>
      <c r="D70" s="491" t="s">
        <v>2857</v>
      </c>
      <c r="E70" s="495" t="s">
        <v>2924</v>
      </c>
      <c r="F70" s="491" t="s">
        <v>2856</v>
      </c>
      <c r="G70" s="549" t="s">
        <v>2920</v>
      </c>
      <c r="H70" s="495" t="s">
        <v>2859</v>
      </c>
      <c r="I70" s="495" t="s">
        <v>2855</v>
      </c>
      <c r="J70" s="495" t="s">
        <v>52</v>
      </c>
      <c r="K70" s="516" t="s">
        <v>3119</v>
      </c>
      <c r="L70" s="495" t="s">
        <v>3133</v>
      </c>
      <c r="M70" s="495" t="s">
        <v>2919</v>
      </c>
      <c r="N70" s="486" t="s">
        <v>3133</v>
      </c>
      <c r="O70" s="549" t="s">
        <v>52</v>
      </c>
      <c r="P70" s="517" t="s">
        <v>2902</v>
      </c>
      <c r="Q70" s="495">
        <v>3</v>
      </c>
      <c r="R70" s="403" t="s">
        <v>3134</v>
      </c>
      <c r="S70" s="382" t="s">
        <v>52</v>
      </c>
      <c r="T70" s="382" t="s">
        <v>52</v>
      </c>
      <c r="U70" s="398" t="s">
        <v>52</v>
      </c>
      <c r="V70" s="398" t="s">
        <v>52</v>
      </c>
      <c r="W70" s="398" t="s">
        <v>52</v>
      </c>
      <c r="X70" s="489" t="s">
        <v>52</v>
      </c>
      <c r="Y70" s="398" t="s">
        <v>52</v>
      </c>
      <c r="Z70" s="489" t="s">
        <v>52</v>
      </c>
      <c r="AA70" s="370" t="s">
        <v>52</v>
      </c>
      <c r="AB70" s="495" t="s">
        <v>52</v>
      </c>
      <c r="AC70" s="398" t="s">
        <v>52</v>
      </c>
      <c r="AD70" s="489" t="s">
        <v>52</v>
      </c>
      <c r="AE70" s="404" t="s">
        <v>52</v>
      </c>
      <c r="AF70" s="397" t="s">
        <v>52</v>
      </c>
      <c r="AG70" s="394" t="s">
        <v>52</v>
      </c>
      <c r="AH70" s="394" t="s">
        <v>52</v>
      </c>
      <c r="AI70" s="394" t="s">
        <v>52</v>
      </c>
      <c r="AJ70" s="483" t="s">
        <v>54</v>
      </c>
      <c r="AK70" s="483" t="s">
        <v>54</v>
      </c>
      <c r="AL70" s="483" t="s">
        <v>54</v>
      </c>
      <c r="AM70" s="483" t="s">
        <v>54</v>
      </c>
      <c r="AN70" s="483" t="s">
        <v>54</v>
      </c>
      <c r="AO70" s="483" t="s">
        <v>54</v>
      </c>
      <c r="AP70" s="381" t="s">
        <v>54</v>
      </c>
      <c r="AQ70" s="486" t="s">
        <v>54</v>
      </c>
      <c r="AR70" s="381" t="s">
        <v>54</v>
      </c>
      <c r="AS70" s="385" t="s">
        <v>54</v>
      </c>
      <c r="AT70" s="385" t="s">
        <v>54</v>
      </c>
      <c r="AU70" s="381" t="s">
        <v>54</v>
      </c>
      <c r="AV70" s="381" t="s">
        <v>54</v>
      </c>
      <c r="AW70" s="381" t="s">
        <v>54</v>
      </c>
      <c r="AX70" s="381" t="s">
        <v>54</v>
      </c>
      <c r="AY70" s="386" t="s">
        <v>54</v>
      </c>
      <c r="AZ70" s="392" t="s">
        <v>54</v>
      </c>
      <c r="BA70" s="489" t="s">
        <v>54</v>
      </c>
      <c r="BB70" s="392" t="s">
        <v>54</v>
      </c>
      <c r="BC70" s="489" t="s">
        <v>54</v>
      </c>
      <c r="BD70" s="392" t="s">
        <v>54</v>
      </c>
      <c r="BE70" s="392" t="s">
        <v>54</v>
      </c>
      <c r="BF70" s="392" t="s">
        <v>54</v>
      </c>
      <c r="BG70" s="381" t="s">
        <v>54</v>
      </c>
      <c r="BH70" s="381" t="s">
        <v>54</v>
      </c>
      <c r="BI70" s="381" t="s">
        <v>54</v>
      </c>
      <c r="BJ70" s="381" t="s">
        <v>54</v>
      </c>
      <c r="BK70" s="381" t="s">
        <v>54</v>
      </c>
      <c r="BL70" s="381" t="s">
        <v>54</v>
      </c>
      <c r="BM70" s="381" t="s">
        <v>54</v>
      </c>
      <c r="BN70" s="381" t="s">
        <v>54</v>
      </c>
      <c r="BO70" s="381" t="s">
        <v>54</v>
      </c>
      <c r="BP70" s="381" t="s">
        <v>54</v>
      </c>
      <c r="BQ70" s="381" t="s">
        <v>54</v>
      </c>
      <c r="BR70" s="381" t="s">
        <v>54</v>
      </c>
      <c r="BS70" s="381" t="s">
        <v>54</v>
      </c>
      <c r="BT70" s="381" t="s">
        <v>54</v>
      </c>
      <c r="BU70" s="383" t="s">
        <v>54</v>
      </c>
      <c r="BV70" s="381" t="s">
        <v>54</v>
      </c>
      <c r="BW70" s="381" t="s">
        <v>54</v>
      </c>
      <c r="BX70" s="381" t="s">
        <v>54</v>
      </c>
      <c r="BY70" s="381" t="s">
        <v>54</v>
      </c>
      <c r="BZ70" s="381" t="s">
        <v>54</v>
      </c>
      <c r="CA70" s="381" t="s">
        <v>54</v>
      </c>
      <c r="CB70" s="381" t="s">
        <v>54</v>
      </c>
      <c r="CC70" s="381" t="s">
        <v>54</v>
      </c>
      <c r="CD70" s="381" t="s">
        <v>54</v>
      </c>
      <c r="CE70" s="383" t="s">
        <v>54</v>
      </c>
      <c r="CF70" s="381" t="s">
        <v>54</v>
      </c>
      <c r="CG70" s="381" t="s">
        <v>54</v>
      </c>
      <c r="CH70" s="381" t="s">
        <v>54</v>
      </c>
      <c r="CI70" s="383" t="s">
        <v>54</v>
      </c>
      <c r="CJ70" s="381" t="s">
        <v>54</v>
      </c>
      <c r="CK70" s="381" t="s">
        <v>54</v>
      </c>
      <c r="CL70" s="381" t="s">
        <v>54</v>
      </c>
      <c r="CM70" s="483" t="s">
        <v>54</v>
      </c>
      <c r="CN70" s="483" t="s">
        <v>54</v>
      </c>
      <c r="CO70" s="491" t="s">
        <v>54</v>
      </c>
      <c r="CP70" s="491" t="s">
        <v>54</v>
      </c>
      <c r="CQ70" s="491" t="s">
        <v>54</v>
      </c>
      <c r="CR70" s="491" t="s">
        <v>54</v>
      </c>
      <c r="CS70" s="491" t="s">
        <v>54</v>
      </c>
      <c r="CT70" s="491" t="s">
        <v>2024</v>
      </c>
      <c r="CU70" s="491">
        <v>2018</v>
      </c>
      <c r="CV70" s="491" t="s">
        <v>2865</v>
      </c>
      <c r="CW70" s="491" t="s">
        <v>1996</v>
      </c>
      <c r="CX70" s="491" t="s">
        <v>3076</v>
      </c>
      <c r="CY70" s="491" t="s">
        <v>3077</v>
      </c>
      <c r="CZ70" s="491" t="s">
        <v>52</v>
      </c>
      <c r="DA70" s="491" t="s">
        <v>2926</v>
      </c>
      <c r="DB70" s="491" t="s">
        <v>2954</v>
      </c>
      <c r="DC70" s="491" t="s">
        <v>54</v>
      </c>
      <c r="DD70" s="491" t="s">
        <v>54</v>
      </c>
      <c r="DE70" s="491" t="s">
        <v>54</v>
      </c>
      <c r="DF70" s="491" t="s">
        <v>54</v>
      </c>
      <c r="DG70" s="495" t="s">
        <v>54</v>
      </c>
      <c r="DH70" s="495" t="s">
        <v>54</v>
      </c>
      <c r="DI70" s="495" t="s">
        <v>54</v>
      </c>
      <c r="DJ70" s="495" t="s">
        <v>54</v>
      </c>
      <c r="DK70" s="495" t="s">
        <v>54</v>
      </c>
      <c r="DL70" s="495" t="s">
        <v>54</v>
      </c>
      <c r="DM70" s="381" t="s">
        <v>54</v>
      </c>
      <c r="DN70" s="486" t="s">
        <v>54</v>
      </c>
      <c r="DO70" s="381" t="s">
        <v>54</v>
      </c>
      <c r="DP70" s="385" t="s">
        <v>54</v>
      </c>
      <c r="DQ70" s="385" t="s">
        <v>54</v>
      </c>
      <c r="DR70" s="381" t="s">
        <v>54</v>
      </c>
      <c r="DS70" s="381" t="s">
        <v>54</v>
      </c>
      <c r="DT70" s="381" t="s">
        <v>54</v>
      </c>
      <c r="DU70" s="381" t="s">
        <v>54</v>
      </c>
      <c r="DV70" s="381" t="s">
        <v>54</v>
      </c>
      <c r="DW70" s="381" t="s">
        <v>54</v>
      </c>
      <c r="DX70" s="489" t="s">
        <v>54</v>
      </c>
      <c r="DY70" s="405" t="s">
        <v>54</v>
      </c>
      <c r="DZ70" s="489" t="s">
        <v>54</v>
      </c>
      <c r="EA70" s="405" t="s">
        <v>54</v>
      </c>
      <c r="EB70" s="405" t="s">
        <v>54</v>
      </c>
      <c r="EC70" s="405" t="s">
        <v>54</v>
      </c>
      <c r="ED70" s="381" t="s">
        <v>54</v>
      </c>
      <c r="EE70" s="381" t="s">
        <v>54</v>
      </c>
      <c r="EF70" s="381" t="s">
        <v>54</v>
      </c>
      <c r="EG70" s="381" t="s">
        <v>54</v>
      </c>
      <c r="EH70" s="381" t="s">
        <v>54</v>
      </c>
      <c r="EI70" s="381" t="s">
        <v>54</v>
      </c>
      <c r="EJ70" s="381" t="s">
        <v>54</v>
      </c>
      <c r="EK70" s="381" t="s">
        <v>54</v>
      </c>
      <c r="EL70" s="381" t="s">
        <v>54</v>
      </c>
      <c r="EM70" s="381" t="s">
        <v>54</v>
      </c>
      <c r="EN70" s="381" t="s">
        <v>54</v>
      </c>
      <c r="EO70" s="381" t="s">
        <v>54</v>
      </c>
      <c r="EP70" s="381" t="s">
        <v>54</v>
      </c>
      <c r="EQ70" s="381" t="s">
        <v>54</v>
      </c>
      <c r="ER70" s="381" t="s">
        <v>54</v>
      </c>
      <c r="ES70" s="381" t="s">
        <v>54</v>
      </c>
      <c r="ET70" s="381" t="s">
        <v>54</v>
      </c>
      <c r="EU70" s="381" t="s">
        <v>54</v>
      </c>
    </row>
    <row r="71" spans="1:151" s="1" customFormat="1" ht="19.899999999999999" customHeight="1">
      <c r="A71" s="492"/>
      <c r="B71" s="492"/>
      <c r="C71" s="487"/>
      <c r="D71" s="509"/>
      <c r="E71" s="506"/>
      <c r="F71" s="509"/>
      <c r="G71" s="557"/>
      <c r="H71" s="506"/>
      <c r="I71" s="506"/>
      <c r="J71" s="506"/>
      <c r="K71" s="492"/>
      <c r="L71" s="496"/>
      <c r="M71" s="496"/>
      <c r="N71" s="487"/>
      <c r="O71" s="557"/>
      <c r="P71" s="518"/>
      <c r="Q71" s="496"/>
      <c r="R71" s="403" t="s">
        <v>3135</v>
      </c>
      <c r="S71" s="382" t="s">
        <v>52</v>
      </c>
      <c r="T71" s="382" t="s">
        <v>52</v>
      </c>
      <c r="U71" s="398" t="s">
        <v>52</v>
      </c>
      <c r="V71" s="398" t="s">
        <v>52</v>
      </c>
      <c r="W71" s="398" t="s">
        <v>52</v>
      </c>
      <c r="X71" s="490"/>
      <c r="Y71" s="398" t="s">
        <v>52</v>
      </c>
      <c r="Z71" s="490"/>
      <c r="AA71" s="370" t="s">
        <v>52</v>
      </c>
      <c r="AB71" s="496"/>
      <c r="AC71" s="398" t="s">
        <v>52</v>
      </c>
      <c r="AD71" s="490"/>
      <c r="AE71" s="404" t="s">
        <v>52</v>
      </c>
      <c r="AF71" s="397" t="s">
        <v>52</v>
      </c>
      <c r="AG71" s="394" t="s">
        <v>52</v>
      </c>
      <c r="AH71" s="394" t="s">
        <v>52</v>
      </c>
      <c r="AI71" s="394" t="s">
        <v>52</v>
      </c>
      <c r="AJ71" s="484"/>
      <c r="AK71" s="484"/>
      <c r="AL71" s="484"/>
      <c r="AM71" s="484"/>
      <c r="AN71" s="484"/>
      <c r="AO71" s="484"/>
      <c r="AP71" s="381" t="s">
        <v>54</v>
      </c>
      <c r="AQ71" s="487"/>
      <c r="AR71" s="381" t="s">
        <v>54</v>
      </c>
      <c r="AS71" s="385" t="s">
        <v>54</v>
      </c>
      <c r="AT71" s="385" t="s">
        <v>54</v>
      </c>
      <c r="AU71" s="381" t="s">
        <v>54</v>
      </c>
      <c r="AV71" s="381" t="s">
        <v>54</v>
      </c>
      <c r="AW71" s="381" t="s">
        <v>54</v>
      </c>
      <c r="AX71" s="381" t="s">
        <v>54</v>
      </c>
      <c r="AY71" s="386" t="s">
        <v>54</v>
      </c>
      <c r="AZ71" s="392" t="s">
        <v>54</v>
      </c>
      <c r="BA71" s="490"/>
      <c r="BB71" s="392" t="s">
        <v>54</v>
      </c>
      <c r="BC71" s="490"/>
      <c r="BD71" s="392" t="s">
        <v>54</v>
      </c>
      <c r="BE71" s="392" t="s">
        <v>54</v>
      </c>
      <c r="BF71" s="392" t="s">
        <v>54</v>
      </c>
      <c r="BG71" s="381" t="s">
        <v>54</v>
      </c>
      <c r="BH71" s="381" t="s">
        <v>54</v>
      </c>
      <c r="BI71" s="381" t="s">
        <v>54</v>
      </c>
      <c r="BJ71" s="381" t="s">
        <v>54</v>
      </c>
      <c r="BK71" s="381" t="s">
        <v>54</v>
      </c>
      <c r="BL71" s="381" t="s">
        <v>54</v>
      </c>
      <c r="BM71" s="381" t="s">
        <v>54</v>
      </c>
      <c r="BN71" s="381" t="s">
        <v>54</v>
      </c>
      <c r="BO71" s="381" t="s">
        <v>54</v>
      </c>
      <c r="BP71" s="381" t="s">
        <v>54</v>
      </c>
      <c r="BQ71" s="381" t="s">
        <v>54</v>
      </c>
      <c r="BR71" s="381" t="s">
        <v>54</v>
      </c>
      <c r="BS71" s="381" t="s">
        <v>54</v>
      </c>
      <c r="BT71" s="381" t="s">
        <v>54</v>
      </c>
      <c r="BU71" s="383" t="s">
        <v>54</v>
      </c>
      <c r="BV71" s="381" t="s">
        <v>54</v>
      </c>
      <c r="BW71" s="381" t="s">
        <v>54</v>
      </c>
      <c r="BX71" s="381" t="s">
        <v>54</v>
      </c>
      <c r="BY71" s="381" t="s">
        <v>54</v>
      </c>
      <c r="BZ71" s="381" t="s">
        <v>54</v>
      </c>
      <c r="CA71" s="381" t="s">
        <v>54</v>
      </c>
      <c r="CB71" s="381" t="s">
        <v>54</v>
      </c>
      <c r="CC71" s="381" t="s">
        <v>54</v>
      </c>
      <c r="CD71" s="381" t="s">
        <v>54</v>
      </c>
      <c r="CE71" s="383" t="s">
        <v>54</v>
      </c>
      <c r="CF71" s="381" t="s">
        <v>54</v>
      </c>
      <c r="CG71" s="381" t="s">
        <v>54</v>
      </c>
      <c r="CH71" s="381" t="s">
        <v>54</v>
      </c>
      <c r="CI71" s="383" t="s">
        <v>54</v>
      </c>
      <c r="CJ71" s="381" t="s">
        <v>54</v>
      </c>
      <c r="CK71" s="381" t="s">
        <v>54</v>
      </c>
      <c r="CL71" s="381" t="s">
        <v>54</v>
      </c>
      <c r="CM71" s="499"/>
      <c r="CN71" s="499"/>
      <c r="CO71" s="492"/>
      <c r="CP71" s="492"/>
      <c r="CQ71" s="492"/>
      <c r="CR71" s="492"/>
      <c r="CS71" s="492"/>
      <c r="CT71" s="492"/>
      <c r="CU71" s="492"/>
      <c r="CV71" s="492"/>
      <c r="CW71" s="492"/>
      <c r="CX71" s="492"/>
      <c r="CY71" s="492"/>
      <c r="CZ71" s="492"/>
      <c r="DA71" s="492"/>
      <c r="DB71" s="492"/>
      <c r="DC71" s="492"/>
      <c r="DD71" s="492"/>
      <c r="DE71" s="492"/>
      <c r="DF71" s="492"/>
      <c r="DG71" s="496"/>
      <c r="DH71" s="496"/>
      <c r="DI71" s="496"/>
      <c r="DJ71" s="496"/>
      <c r="DK71" s="496"/>
      <c r="DL71" s="496"/>
      <c r="DM71" s="381" t="s">
        <v>54</v>
      </c>
      <c r="DN71" s="487"/>
      <c r="DO71" s="381" t="s">
        <v>54</v>
      </c>
      <c r="DP71" s="385" t="s">
        <v>54</v>
      </c>
      <c r="DQ71" s="385" t="s">
        <v>54</v>
      </c>
      <c r="DR71" s="381" t="s">
        <v>54</v>
      </c>
      <c r="DS71" s="381" t="s">
        <v>54</v>
      </c>
      <c r="DT71" s="381" t="s">
        <v>54</v>
      </c>
      <c r="DU71" s="381" t="s">
        <v>54</v>
      </c>
      <c r="DV71" s="381" t="s">
        <v>54</v>
      </c>
      <c r="DW71" s="381" t="s">
        <v>54</v>
      </c>
      <c r="DX71" s="490"/>
      <c r="DY71" s="405" t="s">
        <v>54</v>
      </c>
      <c r="DZ71" s="490"/>
      <c r="EA71" s="405" t="s">
        <v>54</v>
      </c>
      <c r="EB71" s="405" t="s">
        <v>54</v>
      </c>
      <c r="EC71" s="405" t="s">
        <v>54</v>
      </c>
      <c r="ED71" s="381" t="s">
        <v>54</v>
      </c>
      <c r="EE71" s="381" t="s">
        <v>54</v>
      </c>
      <c r="EF71" s="381" t="s">
        <v>54</v>
      </c>
      <c r="EG71" s="381" t="s">
        <v>54</v>
      </c>
      <c r="EH71" s="381" t="s">
        <v>54</v>
      </c>
      <c r="EI71" s="381" t="s">
        <v>54</v>
      </c>
      <c r="EJ71" s="381" t="s">
        <v>54</v>
      </c>
      <c r="EK71" s="381" t="s">
        <v>54</v>
      </c>
      <c r="EL71" s="381" t="s">
        <v>54</v>
      </c>
      <c r="EM71" s="381" t="s">
        <v>54</v>
      </c>
      <c r="EN71" s="381" t="s">
        <v>54</v>
      </c>
      <c r="EO71" s="381" t="s">
        <v>54</v>
      </c>
      <c r="EP71" s="381" t="s">
        <v>54</v>
      </c>
      <c r="EQ71" s="381" t="s">
        <v>54</v>
      </c>
      <c r="ER71" s="381" t="s">
        <v>54</v>
      </c>
      <c r="ES71" s="381" t="s">
        <v>54</v>
      </c>
      <c r="ET71" s="381" t="s">
        <v>54</v>
      </c>
      <c r="EU71" s="381" t="s">
        <v>54</v>
      </c>
    </row>
    <row r="72" spans="1:151" s="1" customFormat="1" ht="19.899999999999999" customHeight="1">
      <c r="A72" s="493"/>
      <c r="B72" s="493"/>
      <c r="C72" s="487"/>
      <c r="D72" s="510"/>
      <c r="E72" s="507"/>
      <c r="F72" s="510"/>
      <c r="G72" s="558"/>
      <c r="H72" s="507"/>
      <c r="I72" s="507"/>
      <c r="J72" s="507"/>
      <c r="K72" s="493"/>
      <c r="L72" s="497"/>
      <c r="M72" s="497"/>
      <c r="N72" s="487"/>
      <c r="O72" s="558"/>
      <c r="P72" s="518"/>
      <c r="Q72" s="497"/>
      <c r="R72" s="381" t="s">
        <v>2862</v>
      </c>
      <c r="S72" s="382" t="s">
        <v>52</v>
      </c>
      <c r="T72" s="382" t="s">
        <v>52</v>
      </c>
      <c r="U72" s="398" t="s">
        <v>52</v>
      </c>
      <c r="V72" s="398" t="s">
        <v>52</v>
      </c>
      <c r="W72" s="398" t="s">
        <v>52</v>
      </c>
      <c r="X72" s="490"/>
      <c r="Y72" s="398" t="s">
        <v>52</v>
      </c>
      <c r="Z72" s="490"/>
      <c r="AA72" s="370" t="s">
        <v>52</v>
      </c>
      <c r="AB72" s="497"/>
      <c r="AC72" s="398" t="s">
        <v>52</v>
      </c>
      <c r="AD72" s="490"/>
      <c r="AE72" s="404" t="s">
        <v>52</v>
      </c>
      <c r="AF72" s="397" t="s">
        <v>52</v>
      </c>
      <c r="AG72" s="394" t="s">
        <v>52</v>
      </c>
      <c r="AH72" s="394" t="s">
        <v>52</v>
      </c>
      <c r="AI72" s="394" t="s">
        <v>52</v>
      </c>
      <c r="AJ72" s="484"/>
      <c r="AK72" s="484"/>
      <c r="AL72" s="484"/>
      <c r="AM72" s="484"/>
      <c r="AN72" s="484"/>
      <c r="AO72" s="484"/>
      <c r="AP72" s="381" t="s">
        <v>54</v>
      </c>
      <c r="AQ72" s="487"/>
      <c r="AR72" s="381" t="s">
        <v>54</v>
      </c>
      <c r="AS72" s="385" t="s">
        <v>54</v>
      </c>
      <c r="AT72" s="385" t="s">
        <v>54</v>
      </c>
      <c r="AU72" s="381" t="s">
        <v>54</v>
      </c>
      <c r="AV72" s="381" t="s">
        <v>54</v>
      </c>
      <c r="AW72" s="381" t="s">
        <v>54</v>
      </c>
      <c r="AX72" s="381" t="s">
        <v>54</v>
      </c>
      <c r="AY72" s="386" t="s">
        <v>54</v>
      </c>
      <c r="AZ72" s="392" t="s">
        <v>54</v>
      </c>
      <c r="BA72" s="490"/>
      <c r="BB72" s="392" t="s">
        <v>54</v>
      </c>
      <c r="BC72" s="490"/>
      <c r="BD72" s="392" t="s">
        <v>54</v>
      </c>
      <c r="BE72" s="392" t="s">
        <v>54</v>
      </c>
      <c r="BF72" s="392" t="s">
        <v>54</v>
      </c>
      <c r="BG72" s="381" t="s">
        <v>54</v>
      </c>
      <c r="BH72" s="381" t="s">
        <v>54</v>
      </c>
      <c r="BI72" s="381" t="s">
        <v>54</v>
      </c>
      <c r="BJ72" s="381" t="s">
        <v>54</v>
      </c>
      <c r="BK72" s="381" t="s">
        <v>54</v>
      </c>
      <c r="BL72" s="381" t="s">
        <v>54</v>
      </c>
      <c r="BM72" s="381" t="s">
        <v>54</v>
      </c>
      <c r="BN72" s="381" t="s">
        <v>54</v>
      </c>
      <c r="BO72" s="381" t="s">
        <v>54</v>
      </c>
      <c r="BP72" s="381" t="s">
        <v>54</v>
      </c>
      <c r="BQ72" s="381" t="s">
        <v>54</v>
      </c>
      <c r="BR72" s="381" t="s">
        <v>54</v>
      </c>
      <c r="BS72" s="381" t="s">
        <v>54</v>
      </c>
      <c r="BT72" s="381" t="s">
        <v>54</v>
      </c>
      <c r="BU72" s="383" t="s">
        <v>54</v>
      </c>
      <c r="BV72" s="381" t="s">
        <v>54</v>
      </c>
      <c r="BW72" s="381" t="s">
        <v>54</v>
      </c>
      <c r="BX72" s="381" t="s">
        <v>54</v>
      </c>
      <c r="BY72" s="381" t="s">
        <v>54</v>
      </c>
      <c r="BZ72" s="381" t="s">
        <v>54</v>
      </c>
      <c r="CA72" s="381" t="s">
        <v>54</v>
      </c>
      <c r="CB72" s="381" t="s">
        <v>54</v>
      </c>
      <c r="CC72" s="381" t="s">
        <v>54</v>
      </c>
      <c r="CD72" s="381" t="s">
        <v>54</v>
      </c>
      <c r="CE72" s="383" t="s">
        <v>54</v>
      </c>
      <c r="CF72" s="381" t="s">
        <v>54</v>
      </c>
      <c r="CG72" s="381" t="s">
        <v>54</v>
      </c>
      <c r="CH72" s="381" t="s">
        <v>54</v>
      </c>
      <c r="CI72" s="383" t="s">
        <v>54</v>
      </c>
      <c r="CJ72" s="381" t="s">
        <v>54</v>
      </c>
      <c r="CK72" s="381" t="s">
        <v>54</v>
      </c>
      <c r="CL72" s="381" t="s">
        <v>54</v>
      </c>
      <c r="CM72" s="499"/>
      <c r="CN72" s="499"/>
      <c r="CO72" s="493"/>
      <c r="CP72" s="493"/>
      <c r="CQ72" s="493"/>
      <c r="CR72" s="493"/>
      <c r="CS72" s="493"/>
      <c r="CT72" s="493"/>
      <c r="CU72" s="493"/>
      <c r="CV72" s="493"/>
      <c r="CW72" s="493"/>
      <c r="CX72" s="493"/>
      <c r="CY72" s="493"/>
      <c r="CZ72" s="493"/>
      <c r="DA72" s="493"/>
      <c r="DB72" s="493"/>
      <c r="DC72" s="493"/>
      <c r="DD72" s="493"/>
      <c r="DE72" s="493"/>
      <c r="DF72" s="493"/>
      <c r="DG72" s="497"/>
      <c r="DH72" s="497"/>
      <c r="DI72" s="497"/>
      <c r="DJ72" s="497"/>
      <c r="DK72" s="497"/>
      <c r="DL72" s="497"/>
      <c r="DM72" s="381" t="s">
        <v>54</v>
      </c>
      <c r="DN72" s="487"/>
      <c r="DO72" s="381" t="s">
        <v>54</v>
      </c>
      <c r="DP72" s="385" t="s">
        <v>54</v>
      </c>
      <c r="DQ72" s="385" t="s">
        <v>54</v>
      </c>
      <c r="DR72" s="381" t="s">
        <v>54</v>
      </c>
      <c r="DS72" s="381" t="s">
        <v>54</v>
      </c>
      <c r="DT72" s="381" t="s">
        <v>54</v>
      </c>
      <c r="DU72" s="381" t="s">
        <v>54</v>
      </c>
      <c r="DV72" s="381" t="s">
        <v>54</v>
      </c>
      <c r="DW72" s="381" t="s">
        <v>54</v>
      </c>
      <c r="DX72" s="490"/>
      <c r="DY72" s="405" t="s">
        <v>54</v>
      </c>
      <c r="DZ72" s="490"/>
      <c r="EA72" s="405" t="s">
        <v>54</v>
      </c>
      <c r="EB72" s="405" t="s">
        <v>54</v>
      </c>
      <c r="EC72" s="405" t="s">
        <v>54</v>
      </c>
      <c r="ED72" s="381" t="s">
        <v>54</v>
      </c>
      <c r="EE72" s="381" t="s">
        <v>54</v>
      </c>
      <c r="EF72" s="381" t="s">
        <v>54</v>
      </c>
      <c r="EG72" s="381" t="s">
        <v>54</v>
      </c>
      <c r="EH72" s="381" t="s">
        <v>54</v>
      </c>
      <c r="EI72" s="381" t="s">
        <v>54</v>
      </c>
      <c r="EJ72" s="381" t="s">
        <v>54</v>
      </c>
      <c r="EK72" s="381" t="s">
        <v>54</v>
      </c>
      <c r="EL72" s="381" t="s">
        <v>54</v>
      </c>
      <c r="EM72" s="381" t="s">
        <v>54</v>
      </c>
      <c r="EN72" s="381" t="s">
        <v>54</v>
      </c>
      <c r="EO72" s="381" t="s">
        <v>54</v>
      </c>
      <c r="EP72" s="381" t="s">
        <v>54</v>
      </c>
      <c r="EQ72" s="381" t="s">
        <v>54</v>
      </c>
      <c r="ER72" s="381" t="s">
        <v>54</v>
      </c>
      <c r="ES72" s="381" t="s">
        <v>54</v>
      </c>
      <c r="ET72" s="381" t="s">
        <v>54</v>
      </c>
      <c r="EU72" s="381" t="s">
        <v>54</v>
      </c>
    </row>
    <row r="73" spans="1:151" s="1" customFormat="1" ht="19.899999999999999" customHeight="1">
      <c r="A73" s="494"/>
      <c r="B73" s="494"/>
      <c r="C73" s="488"/>
      <c r="D73" s="511"/>
      <c r="E73" s="508"/>
      <c r="F73" s="511"/>
      <c r="G73" s="559"/>
      <c r="H73" s="508"/>
      <c r="I73" s="508"/>
      <c r="J73" s="508"/>
      <c r="K73" s="494"/>
      <c r="L73" s="498"/>
      <c r="M73" s="498"/>
      <c r="N73" s="488"/>
      <c r="O73" s="559"/>
      <c r="P73" s="519"/>
      <c r="Q73" s="498"/>
      <c r="R73" s="381" t="s">
        <v>54</v>
      </c>
      <c r="S73" s="382" t="s">
        <v>54</v>
      </c>
      <c r="T73" s="382" t="s">
        <v>54</v>
      </c>
      <c r="U73" s="398" t="s">
        <v>54</v>
      </c>
      <c r="V73" s="398" t="s">
        <v>54</v>
      </c>
      <c r="W73" s="398" t="s">
        <v>54</v>
      </c>
      <c r="X73" s="490"/>
      <c r="Y73" s="398" t="s">
        <v>54</v>
      </c>
      <c r="Z73" s="490"/>
      <c r="AA73" s="370" t="s">
        <v>54</v>
      </c>
      <c r="AB73" s="498"/>
      <c r="AC73" s="398" t="s">
        <v>54</v>
      </c>
      <c r="AD73" s="490"/>
      <c r="AE73" s="404" t="s">
        <v>54</v>
      </c>
      <c r="AF73" s="397" t="s">
        <v>54</v>
      </c>
      <c r="AG73" s="394" t="s">
        <v>54</v>
      </c>
      <c r="AH73" s="394" t="s">
        <v>54</v>
      </c>
      <c r="AI73" s="394" t="s">
        <v>54</v>
      </c>
      <c r="AJ73" s="485"/>
      <c r="AK73" s="485"/>
      <c r="AL73" s="485"/>
      <c r="AM73" s="485"/>
      <c r="AN73" s="485"/>
      <c r="AO73" s="485"/>
      <c r="AP73" s="381" t="s">
        <v>54</v>
      </c>
      <c r="AQ73" s="488"/>
      <c r="AR73" s="381" t="s">
        <v>54</v>
      </c>
      <c r="AS73" s="385" t="s">
        <v>54</v>
      </c>
      <c r="AT73" s="385" t="s">
        <v>54</v>
      </c>
      <c r="AU73" s="381" t="s">
        <v>54</v>
      </c>
      <c r="AV73" s="381" t="s">
        <v>54</v>
      </c>
      <c r="AW73" s="381" t="s">
        <v>54</v>
      </c>
      <c r="AX73" s="381" t="s">
        <v>54</v>
      </c>
      <c r="AY73" s="386" t="s">
        <v>54</v>
      </c>
      <c r="AZ73" s="392" t="s">
        <v>54</v>
      </c>
      <c r="BA73" s="490"/>
      <c r="BB73" s="392" t="s">
        <v>54</v>
      </c>
      <c r="BC73" s="490"/>
      <c r="BD73" s="392" t="s">
        <v>54</v>
      </c>
      <c r="BE73" s="392" t="s">
        <v>54</v>
      </c>
      <c r="BF73" s="392" t="s">
        <v>54</v>
      </c>
      <c r="BG73" s="381" t="s">
        <v>54</v>
      </c>
      <c r="BH73" s="381" t="s">
        <v>54</v>
      </c>
      <c r="BI73" s="381" t="s">
        <v>54</v>
      </c>
      <c r="BJ73" s="381" t="s">
        <v>54</v>
      </c>
      <c r="BK73" s="381" t="s">
        <v>54</v>
      </c>
      <c r="BL73" s="381" t="s">
        <v>54</v>
      </c>
      <c r="BM73" s="381" t="s">
        <v>54</v>
      </c>
      <c r="BN73" s="381" t="s">
        <v>54</v>
      </c>
      <c r="BO73" s="381" t="s">
        <v>54</v>
      </c>
      <c r="BP73" s="381" t="s">
        <v>54</v>
      </c>
      <c r="BQ73" s="381" t="s">
        <v>54</v>
      </c>
      <c r="BR73" s="381" t="s">
        <v>54</v>
      </c>
      <c r="BS73" s="381" t="s">
        <v>54</v>
      </c>
      <c r="BT73" s="381" t="s">
        <v>54</v>
      </c>
      <c r="BU73" s="383" t="s">
        <v>54</v>
      </c>
      <c r="BV73" s="381" t="s">
        <v>54</v>
      </c>
      <c r="BW73" s="381" t="s">
        <v>54</v>
      </c>
      <c r="BX73" s="381" t="s">
        <v>54</v>
      </c>
      <c r="BY73" s="381" t="s">
        <v>54</v>
      </c>
      <c r="BZ73" s="381" t="s">
        <v>54</v>
      </c>
      <c r="CA73" s="381" t="s">
        <v>54</v>
      </c>
      <c r="CB73" s="381" t="s">
        <v>54</v>
      </c>
      <c r="CC73" s="381" t="s">
        <v>54</v>
      </c>
      <c r="CD73" s="381" t="s">
        <v>54</v>
      </c>
      <c r="CE73" s="383" t="s">
        <v>54</v>
      </c>
      <c r="CF73" s="381" t="s">
        <v>54</v>
      </c>
      <c r="CG73" s="381" t="s">
        <v>54</v>
      </c>
      <c r="CH73" s="381" t="s">
        <v>54</v>
      </c>
      <c r="CI73" s="383" t="s">
        <v>54</v>
      </c>
      <c r="CJ73" s="381" t="s">
        <v>54</v>
      </c>
      <c r="CK73" s="381" t="s">
        <v>54</v>
      </c>
      <c r="CL73" s="381" t="s">
        <v>54</v>
      </c>
      <c r="CM73" s="500"/>
      <c r="CN73" s="500"/>
      <c r="CO73" s="494"/>
      <c r="CP73" s="494"/>
      <c r="CQ73" s="494"/>
      <c r="CR73" s="494"/>
      <c r="CS73" s="494"/>
      <c r="CT73" s="494"/>
      <c r="CU73" s="494"/>
      <c r="CV73" s="494"/>
      <c r="CW73" s="494"/>
      <c r="CX73" s="494"/>
      <c r="CY73" s="494"/>
      <c r="CZ73" s="494"/>
      <c r="DA73" s="494"/>
      <c r="DB73" s="494"/>
      <c r="DC73" s="494"/>
      <c r="DD73" s="494"/>
      <c r="DE73" s="494"/>
      <c r="DF73" s="494"/>
      <c r="DG73" s="498"/>
      <c r="DH73" s="498"/>
      <c r="DI73" s="498"/>
      <c r="DJ73" s="498"/>
      <c r="DK73" s="498"/>
      <c r="DL73" s="498"/>
      <c r="DM73" s="381" t="s">
        <v>54</v>
      </c>
      <c r="DN73" s="488"/>
      <c r="DO73" s="381" t="s">
        <v>54</v>
      </c>
      <c r="DP73" s="385" t="s">
        <v>54</v>
      </c>
      <c r="DQ73" s="385" t="s">
        <v>54</v>
      </c>
      <c r="DR73" s="381" t="s">
        <v>54</v>
      </c>
      <c r="DS73" s="381" t="s">
        <v>54</v>
      </c>
      <c r="DT73" s="381" t="s">
        <v>54</v>
      </c>
      <c r="DU73" s="381" t="s">
        <v>54</v>
      </c>
      <c r="DV73" s="381" t="s">
        <v>54</v>
      </c>
      <c r="DW73" s="381" t="s">
        <v>54</v>
      </c>
      <c r="DX73" s="490"/>
      <c r="DY73" s="405" t="s">
        <v>54</v>
      </c>
      <c r="DZ73" s="490"/>
      <c r="EA73" s="405" t="s">
        <v>54</v>
      </c>
      <c r="EB73" s="405" t="s">
        <v>54</v>
      </c>
      <c r="EC73" s="405" t="s">
        <v>54</v>
      </c>
      <c r="ED73" s="381" t="s">
        <v>54</v>
      </c>
      <c r="EE73" s="381" t="s">
        <v>54</v>
      </c>
      <c r="EF73" s="381" t="s">
        <v>54</v>
      </c>
      <c r="EG73" s="381" t="s">
        <v>54</v>
      </c>
      <c r="EH73" s="381" t="s">
        <v>54</v>
      </c>
      <c r="EI73" s="381" t="s">
        <v>54</v>
      </c>
      <c r="EJ73" s="381" t="s">
        <v>54</v>
      </c>
      <c r="EK73" s="381" t="s">
        <v>54</v>
      </c>
      <c r="EL73" s="381" t="s">
        <v>54</v>
      </c>
      <c r="EM73" s="381" t="s">
        <v>54</v>
      </c>
      <c r="EN73" s="381" t="s">
        <v>54</v>
      </c>
      <c r="EO73" s="381" t="s">
        <v>54</v>
      </c>
      <c r="EP73" s="381" t="s">
        <v>54</v>
      </c>
      <c r="EQ73" s="381" t="s">
        <v>54</v>
      </c>
      <c r="ER73" s="381" t="s">
        <v>54</v>
      </c>
      <c r="ES73" s="381" t="s">
        <v>54</v>
      </c>
      <c r="ET73" s="381" t="s">
        <v>54</v>
      </c>
      <c r="EU73" s="381" t="s">
        <v>54</v>
      </c>
    </row>
    <row r="74" spans="1:151" s="1" customFormat="1" ht="19.899999999999999" customHeight="1">
      <c r="A74" s="491">
        <v>5</v>
      </c>
      <c r="B74" s="491">
        <v>5</v>
      </c>
      <c r="C74" s="486" t="s">
        <v>2797</v>
      </c>
      <c r="D74" s="491" t="s">
        <v>3078</v>
      </c>
      <c r="E74" s="495" t="s">
        <v>2924</v>
      </c>
      <c r="F74" s="491" t="s">
        <v>2955</v>
      </c>
      <c r="G74" s="512" t="s">
        <v>2956</v>
      </c>
      <c r="H74" s="491" t="s">
        <v>2957</v>
      </c>
      <c r="I74" s="491" t="s">
        <v>2958</v>
      </c>
      <c r="J74" s="491" t="s">
        <v>52</v>
      </c>
      <c r="K74" s="516" t="s">
        <v>3120</v>
      </c>
      <c r="L74" s="495" t="s">
        <v>3133</v>
      </c>
      <c r="M74" s="491" t="s">
        <v>2934</v>
      </c>
      <c r="N74" s="486" t="s">
        <v>3133</v>
      </c>
      <c r="O74" s="512" t="s">
        <v>2934</v>
      </c>
      <c r="P74" s="517" t="s">
        <v>2902</v>
      </c>
      <c r="Q74" s="491">
        <v>2</v>
      </c>
      <c r="R74" s="381" t="s">
        <v>2720</v>
      </c>
      <c r="S74" s="382" t="s">
        <v>52</v>
      </c>
      <c r="T74" s="382" t="s">
        <v>52</v>
      </c>
      <c r="U74" s="398" t="s">
        <v>52</v>
      </c>
      <c r="V74" s="398" t="s">
        <v>52</v>
      </c>
      <c r="W74" s="398" t="s">
        <v>52</v>
      </c>
      <c r="X74" s="560">
        <v>11212</v>
      </c>
      <c r="Y74" s="398" t="s">
        <v>52</v>
      </c>
      <c r="Z74" s="520" t="s">
        <v>52</v>
      </c>
      <c r="AA74" s="398" t="s">
        <v>52</v>
      </c>
      <c r="AB74" s="560">
        <v>11212</v>
      </c>
      <c r="AC74" s="398" t="s">
        <v>52</v>
      </c>
      <c r="AD74" s="491" t="s">
        <v>52</v>
      </c>
      <c r="AE74" s="404" t="s">
        <v>52</v>
      </c>
      <c r="AF74" s="398" t="s">
        <v>52</v>
      </c>
      <c r="AG74" s="398" t="s">
        <v>52</v>
      </c>
      <c r="AH74" s="398" t="s">
        <v>52</v>
      </c>
      <c r="AI74" s="398" t="s">
        <v>52</v>
      </c>
      <c r="AJ74" s="483" t="s">
        <v>54</v>
      </c>
      <c r="AK74" s="483" t="s">
        <v>54</v>
      </c>
      <c r="AL74" s="483" t="s">
        <v>54</v>
      </c>
      <c r="AM74" s="483" t="s">
        <v>54</v>
      </c>
      <c r="AN74" s="483" t="s">
        <v>54</v>
      </c>
      <c r="AO74" s="483" t="s">
        <v>54</v>
      </c>
      <c r="AP74" s="381" t="s">
        <v>54</v>
      </c>
      <c r="AQ74" s="486" t="s">
        <v>54</v>
      </c>
      <c r="AR74" s="381" t="s">
        <v>54</v>
      </c>
      <c r="AS74" s="385" t="s">
        <v>54</v>
      </c>
      <c r="AT74" s="385" t="s">
        <v>54</v>
      </c>
      <c r="AU74" s="381" t="s">
        <v>54</v>
      </c>
      <c r="AV74" s="381" t="s">
        <v>54</v>
      </c>
      <c r="AW74" s="381" t="s">
        <v>54</v>
      </c>
      <c r="AX74" s="381" t="s">
        <v>54</v>
      </c>
      <c r="AY74" s="386" t="s">
        <v>54</v>
      </c>
      <c r="AZ74" s="392" t="s">
        <v>54</v>
      </c>
      <c r="BA74" s="489" t="s">
        <v>54</v>
      </c>
      <c r="BB74" s="392" t="s">
        <v>54</v>
      </c>
      <c r="BC74" s="489" t="s">
        <v>54</v>
      </c>
      <c r="BD74" s="392" t="s">
        <v>54</v>
      </c>
      <c r="BE74" s="392" t="s">
        <v>54</v>
      </c>
      <c r="BF74" s="392" t="s">
        <v>54</v>
      </c>
      <c r="BG74" s="381" t="s">
        <v>54</v>
      </c>
      <c r="BH74" s="381" t="s">
        <v>54</v>
      </c>
      <c r="BI74" s="381" t="s">
        <v>54</v>
      </c>
      <c r="BJ74" s="381" t="s">
        <v>54</v>
      </c>
      <c r="BK74" s="381" t="s">
        <v>54</v>
      </c>
      <c r="BL74" s="381" t="s">
        <v>54</v>
      </c>
      <c r="BM74" s="381" t="s">
        <v>54</v>
      </c>
      <c r="BN74" s="381" t="s">
        <v>54</v>
      </c>
      <c r="BO74" s="381" t="s">
        <v>54</v>
      </c>
      <c r="BP74" s="381" t="s">
        <v>54</v>
      </c>
      <c r="BQ74" s="381" t="s">
        <v>54</v>
      </c>
      <c r="BR74" s="381" t="s">
        <v>54</v>
      </c>
      <c r="BS74" s="381" t="s">
        <v>54</v>
      </c>
      <c r="BT74" s="381" t="s">
        <v>54</v>
      </c>
      <c r="BU74" s="383" t="s">
        <v>54</v>
      </c>
      <c r="BV74" s="381" t="s">
        <v>54</v>
      </c>
      <c r="BW74" s="381" t="s">
        <v>54</v>
      </c>
      <c r="BX74" s="381" t="s">
        <v>54</v>
      </c>
      <c r="BY74" s="381" t="s">
        <v>54</v>
      </c>
      <c r="BZ74" s="381" t="s">
        <v>54</v>
      </c>
      <c r="CA74" s="381" t="s">
        <v>54</v>
      </c>
      <c r="CB74" s="381" t="s">
        <v>54</v>
      </c>
      <c r="CC74" s="381" t="s">
        <v>54</v>
      </c>
      <c r="CD74" s="381" t="s">
        <v>54</v>
      </c>
      <c r="CE74" s="383" t="s">
        <v>54</v>
      </c>
      <c r="CF74" s="381" t="s">
        <v>54</v>
      </c>
      <c r="CG74" s="381" t="s">
        <v>54</v>
      </c>
      <c r="CH74" s="381" t="s">
        <v>54</v>
      </c>
      <c r="CI74" s="383" t="s">
        <v>54</v>
      </c>
      <c r="CJ74" s="381" t="s">
        <v>54</v>
      </c>
      <c r="CK74" s="381" t="s">
        <v>54</v>
      </c>
      <c r="CL74" s="381" t="s">
        <v>54</v>
      </c>
      <c r="CM74" s="483" t="s">
        <v>54</v>
      </c>
      <c r="CN74" s="483" t="s">
        <v>54</v>
      </c>
      <c r="CO74" s="491" t="s">
        <v>54</v>
      </c>
      <c r="CP74" s="491" t="s">
        <v>54</v>
      </c>
      <c r="CQ74" s="491" t="s">
        <v>54</v>
      </c>
      <c r="CR74" s="491" t="s">
        <v>54</v>
      </c>
      <c r="CS74" s="491" t="s">
        <v>54</v>
      </c>
      <c r="CT74" s="491" t="s">
        <v>2024</v>
      </c>
      <c r="CU74" s="491">
        <v>2017</v>
      </c>
      <c r="CV74" s="491" t="s">
        <v>2863</v>
      </c>
      <c r="CW74" s="491" t="s">
        <v>1975</v>
      </c>
      <c r="CX74" s="491" t="s">
        <v>3079</v>
      </c>
      <c r="CY74" s="491" t="s">
        <v>3080</v>
      </c>
      <c r="CZ74" s="491" t="s">
        <v>2961</v>
      </c>
      <c r="DA74" s="491" t="s">
        <v>52</v>
      </c>
      <c r="DB74" s="491" t="s">
        <v>2962</v>
      </c>
      <c r="DC74" s="491" t="s">
        <v>54</v>
      </c>
      <c r="DD74" s="491" t="s">
        <v>54</v>
      </c>
      <c r="DE74" s="491" t="s">
        <v>54</v>
      </c>
      <c r="DF74" s="491" t="s">
        <v>54</v>
      </c>
      <c r="DG74" s="495" t="s">
        <v>54</v>
      </c>
      <c r="DH74" s="495" t="s">
        <v>54</v>
      </c>
      <c r="DI74" s="495" t="s">
        <v>54</v>
      </c>
      <c r="DJ74" s="495" t="s">
        <v>54</v>
      </c>
      <c r="DK74" s="495" t="s">
        <v>54</v>
      </c>
      <c r="DL74" s="495" t="s">
        <v>54</v>
      </c>
      <c r="DM74" s="381" t="s">
        <v>54</v>
      </c>
      <c r="DN74" s="486" t="s">
        <v>54</v>
      </c>
      <c r="DO74" s="381" t="s">
        <v>54</v>
      </c>
      <c r="DP74" s="385" t="s">
        <v>54</v>
      </c>
      <c r="DQ74" s="385" t="s">
        <v>54</v>
      </c>
      <c r="DR74" s="381" t="s">
        <v>54</v>
      </c>
      <c r="DS74" s="381" t="s">
        <v>54</v>
      </c>
      <c r="DT74" s="381" t="s">
        <v>54</v>
      </c>
      <c r="DU74" s="381" t="s">
        <v>54</v>
      </c>
      <c r="DV74" s="381" t="s">
        <v>54</v>
      </c>
      <c r="DW74" s="381" t="s">
        <v>54</v>
      </c>
      <c r="DX74" s="489" t="s">
        <v>54</v>
      </c>
      <c r="DY74" s="405" t="s">
        <v>54</v>
      </c>
      <c r="DZ74" s="489" t="s">
        <v>54</v>
      </c>
      <c r="EA74" s="405" t="s">
        <v>54</v>
      </c>
      <c r="EB74" s="405" t="s">
        <v>54</v>
      </c>
      <c r="EC74" s="405" t="s">
        <v>54</v>
      </c>
      <c r="ED74" s="381" t="s">
        <v>54</v>
      </c>
      <c r="EE74" s="381" t="s">
        <v>54</v>
      </c>
      <c r="EF74" s="381" t="s">
        <v>54</v>
      </c>
      <c r="EG74" s="381" t="s">
        <v>54</v>
      </c>
      <c r="EH74" s="381" t="s">
        <v>54</v>
      </c>
      <c r="EI74" s="381" t="s">
        <v>54</v>
      </c>
      <c r="EJ74" s="381" t="s">
        <v>54</v>
      </c>
      <c r="EK74" s="381" t="s">
        <v>54</v>
      </c>
      <c r="EL74" s="381" t="s">
        <v>54</v>
      </c>
      <c r="EM74" s="381" t="s">
        <v>54</v>
      </c>
      <c r="EN74" s="381" t="s">
        <v>54</v>
      </c>
      <c r="EO74" s="381" t="s">
        <v>54</v>
      </c>
      <c r="EP74" s="381" t="s">
        <v>54</v>
      </c>
      <c r="EQ74" s="381" t="s">
        <v>54</v>
      </c>
      <c r="ER74" s="381" t="s">
        <v>54</v>
      </c>
      <c r="ES74" s="381" t="s">
        <v>54</v>
      </c>
      <c r="ET74" s="381" t="s">
        <v>54</v>
      </c>
      <c r="EU74" s="381" t="s">
        <v>54</v>
      </c>
    </row>
    <row r="75" spans="1:151" s="1" customFormat="1" ht="19.899999999999999" customHeight="1">
      <c r="A75" s="492"/>
      <c r="B75" s="492"/>
      <c r="C75" s="487"/>
      <c r="D75" s="509"/>
      <c r="E75" s="506"/>
      <c r="F75" s="509"/>
      <c r="G75" s="513"/>
      <c r="H75" s="509"/>
      <c r="I75" s="509"/>
      <c r="J75" s="509"/>
      <c r="K75" s="492"/>
      <c r="L75" s="496"/>
      <c r="M75" s="492"/>
      <c r="N75" s="487"/>
      <c r="O75" s="513"/>
      <c r="P75" s="518"/>
      <c r="Q75" s="492"/>
      <c r="R75" s="381" t="s">
        <v>2960</v>
      </c>
      <c r="S75" s="382" t="s">
        <v>52</v>
      </c>
      <c r="T75" s="382" t="s">
        <v>52</v>
      </c>
      <c r="U75" s="398" t="s">
        <v>52</v>
      </c>
      <c r="V75" s="398" t="s">
        <v>52</v>
      </c>
      <c r="W75" s="398" t="s">
        <v>52</v>
      </c>
      <c r="X75" s="490"/>
      <c r="Y75" s="398" t="s">
        <v>52</v>
      </c>
      <c r="Z75" s="521"/>
      <c r="AA75" s="398" t="s">
        <v>52</v>
      </c>
      <c r="AB75" s="490"/>
      <c r="AC75" s="398" t="s">
        <v>52</v>
      </c>
      <c r="AD75" s="492"/>
      <c r="AE75" s="404" t="s">
        <v>52</v>
      </c>
      <c r="AF75" s="398" t="s">
        <v>52</v>
      </c>
      <c r="AG75" s="398" t="s">
        <v>52</v>
      </c>
      <c r="AH75" s="398" t="s">
        <v>52</v>
      </c>
      <c r="AI75" s="398" t="s">
        <v>52</v>
      </c>
      <c r="AJ75" s="484"/>
      <c r="AK75" s="484"/>
      <c r="AL75" s="484"/>
      <c r="AM75" s="484"/>
      <c r="AN75" s="484"/>
      <c r="AO75" s="484"/>
      <c r="AP75" s="381" t="s">
        <v>54</v>
      </c>
      <c r="AQ75" s="487"/>
      <c r="AR75" s="381" t="s">
        <v>54</v>
      </c>
      <c r="AS75" s="385" t="s">
        <v>54</v>
      </c>
      <c r="AT75" s="385" t="s">
        <v>54</v>
      </c>
      <c r="AU75" s="381" t="s">
        <v>54</v>
      </c>
      <c r="AV75" s="381" t="s">
        <v>54</v>
      </c>
      <c r="AW75" s="381" t="s">
        <v>54</v>
      </c>
      <c r="AX75" s="381" t="s">
        <v>54</v>
      </c>
      <c r="AY75" s="386" t="s">
        <v>54</v>
      </c>
      <c r="AZ75" s="392" t="s">
        <v>54</v>
      </c>
      <c r="BA75" s="490"/>
      <c r="BB75" s="392" t="s">
        <v>54</v>
      </c>
      <c r="BC75" s="490"/>
      <c r="BD75" s="392" t="s">
        <v>54</v>
      </c>
      <c r="BE75" s="392" t="s">
        <v>54</v>
      </c>
      <c r="BF75" s="392" t="s">
        <v>54</v>
      </c>
      <c r="BG75" s="381" t="s">
        <v>54</v>
      </c>
      <c r="BH75" s="381" t="s">
        <v>54</v>
      </c>
      <c r="BI75" s="381" t="s">
        <v>54</v>
      </c>
      <c r="BJ75" s="381" t="s">
        <v>54</v>
      </c>
      <c r="BK75" s="381" t="s">
        <v>54</v>
      </c>
      <c r="BL75" s="381" t="s">
        <v>54</v>
      </c>
      <c r="BM75" s="381" t="s">
        <v>54</v>
      </c>
      <c r="BN75" s="381" t="s">
        <v>54</v>
      </c>
      <c r="BO75" s="381" t="s">
        <v>54</v>
      </c>
      <c r="BP75" s="381" t="s">
        <v>54</v>
      </c>
      <c r="BQ75" s="381" t="s">
        <v>54</v>
      </c>
      <c r="BR75" s="381" t="s">
        <v>54</v>
      </c>
      <c r="BS75" s="381" t="s">
        <v>54</v>
      </c>
      <c r="BT75" s="381" t="s">
        <v>54</v>
      </c>
      <c r="BU75" s="383" t="s">
        <v>54</v>
      </c>
      <c r="BV75" s="381" t="s">
        <v>54</v>
      </c>
      <c r="BW75" s="381" t="s">
        <v>54</v>
      </c>
      <c r="BX75" s="381" t="s">
        <v>54</v>
      </c>
      <c r="BY75" s="381" t="s">
        <v>54</v>
      </c>
      <c r="BZ75" s="381" t="s">
        <v>54</v>
      </c>
      <c r="CA75" s="381" t="s">
        <v>54</v>
      </c>
      <c r="CB75" s="381" t="s">
        <v>54</v>
      </c>
      <c r="CC75" s="381" t="s">
        <v>54</v>
      </c>
      <c r="CD75" s="381" t="s">
        <v>54</v>
      </c>
      <c r="CE75" s="383" t="s">
        <v>54</v>
      </c>
      <c r="CF75" s="381" t="s">
        <v>54</v>
      </c>
      <c r="CG75" s="381" t="s">
        <v>54</v>
      </c>
      <c r="CH75" s="381" t="s">
        <v>54</v>
      </c>
      <c r="CI75" s="383" t="s">
        <v>54</v>
      </c>
      <c r="CJ75" s="381" t="s">
        <v>54</v>
      </c>
      <c r="CK75" s="381" t="s">
        <v>54</v>
      </c>
      <c r="CL75" s="381" t="s">
        <v>54</v>
      </c>
      <c r="CM75" s="499"/>
      <c r="CN75" s="499"/>
      <c r="CO75" s="492"/>
      <c r="CP75" s="492"/>
      <c r="CQ75" s="492"/>
      <c r="CR75" s="492"/>
      <c r="CS75" s="492"/>
      <c r="CT75" s="492"/>
      <c r="CU75" s="492"/>
      <c r="CV75" s="492"/>
      <c r="CW75" s="492"/>
      <c r="CX75" s="492"/>
      <c r="CY75" s="492"/>
      <c r="CZ75" s="492"/>
      <c r="DA75" s="492"/>
      <c r="DB75" s="492"/>
      <c r="DC75" s="492"/>
      <c r="DD75" s="492"/>
      <c r="DE75" s="492"/>
      <c r="DF75" s="492"/>
      <c r="DG75" s="496"/>
      <c r="DH75" s="496"/>
      <c r="DI75" s="496"/>
      <c r="DJ75" s="496"/>
      <c r="DK75" s="496"/>
      <c r="DL75" s="496"/>
      <c r="DM75" s="381" t="s">
        <v>54</v>
      </c>
      <c r="DN75" s="487"/>
      <c r="DO75" s="381" t="s">
        <v>54</v>
      </c>
      <c r="DP75" s="385" t="s">
        <v>54</v>
      </c>
      <c r="DQ75" s="385" t="s">
        <v>54</v>
      </c>
      <c r="DR75" s="381" t="s">
        <v>54</v>
      </c>
      <c r="DS75" s="381" t="s">
        <v>54</v>
      </c>
      <c r="DT75" s="381" t="s">
        <v>54</v>
      </c>
      <c r="DU75" s="381" t="s">
        <v>54</v>
      </c>
      <c r="DV75" s="381" t="s">
        <v>54</v>
      </c>
      <c r="DW75" s="381" t="s">
        <v>54</v>
      </c>
      <c r="DX75" s="490"/>
      <c r="DY75" s="405" t="s">
        <v>54</v>
      </c>
      <c r="DZ75" s="490"/>
      <c r="EA75" s="405" t="s">
        <v>54</v>
      </c>
      <c r="EB75" s="405" t="s">
        <v>54</v>
      </c>
      <c r="EC75" s="405" t="s">
        <v>54</v>
      </c>
      <c r="ED75" s="381" t="s">
        <v>54</v>
      </c>
      <c r="EE75" s="381" t="s">
        <v>54</v>
      </c>
      <c r="EF75" s="381" t="s">
        <v>54</v>
      </c>
      <c r="EG75" s="381" t="s">
        <v>54</v>
      </c>
      <c r="EH75" s="381" t="s">
        <v>54</v>
      </c>
      <c r="EI75" s="381" t="s">
        <v>54</v>
      </c>
      <c r="EJ75" s="381" t="s">
        <v>54</v>
      </c>
      <c r="EK75" s="381" t="s">
        <v>54</v>
      </c>
      <c r="EL75" s="381" t="s">
        <v>54</v>
      </c>
      <c r="EM75" s="381" t="s">
        <v>54</v>
      </c>
      <c r="EN75" s="381" t="s">
        <v>54</v>
      </c>
      <c r="EO75" s="381" t="s">
        <v>54</v>
      </c>
      <c r="EP75" s="381" t="s">
        <v>54</v>
      </c>
      <c r="EQ75" s="381" t="s">
        <v>54</v>
      </c>
      <c r="ER75" s="381" t="s">
        <v>54</v>
      </c>
      <c r="ES75" s="381" t="s">
        <v>54</v>
      </c>
      <c r="ET75" s="381" t="s">
        <v>54</v>
      </c>
      <c r="EU75" s="381" t="s">
        <v>54</v>
      </c>
    </row>
    <row r="76" spans="1:151" s="1" customFormat="1" ht="19.899999999999999" customHeight="1">
      <c r="A76" s="493"/>
      <c r="B76" s="493"/>
      <c r="C76" s="487"/>
      <c r="D76" s="510"/>
      <c r="E76" s="507"/>
      <c r="F76" s="510"/>
      <c r="G76" s="514"/>
      <c r="H76" s="510"/>
      <c r="I76" s="510"/>
      <c r="J76" s="510"/>
      <c r="K76" s="493"/>
      <c r="L76" s="497"/>
      <c r="M76" s="493"/>
      <c r="N76" s="487"/>
      <c r="O76" s="514"/>
      <c r="P76" s="518"/>
      <c r="Q76" s="493"/>
      <c r="R76" s="381" t="s">
        <v>54</v>
      </c>
      <c r="S76" s="382" t="s">
        <v>54</v>
      </c>
      <c r="T76" s="382" t="s">
        <v>54</v>
      </c>
      <c r="U76" s="398" t="s">
        <v>54</v>
      </c>
      <c r="V76" s="398" t="s">
        <v>54</v>
      </c>
      <c r="W76" s="398" t="s">
        <v>54</v>
      </c>
      <c r="X76" s="490"/>
      <c r="Y76" s="398" t="s">
        <v>54</v>
      </c>
      <c r="Z76" s="521"/>
      <c r="AA76" s="398" t="s">
        <v>54</v>
      </c>
      <c r="AB76" s="490"/>
      <c r="AC76" s="398" t="s">
        <v>54</v>
      </c>
      <c r="AD76" s="493"/>
      <c r="AE76" s="404" t="s">
        <v>54</v>
      </c>
      <c r="AF76" s="398" t="s">
        <v>54</v>
      </c>
      <c r="AG76" s="398" t="s">
        <v>54</v>
      </c>
      <c r="AH76" s="398" t="s">
        <v>54</v>
      </c>
      <c r="AI76" s="398" t="s">
        <v>54</v>
      </c>
      <c r="AJ76" s="484"/>
      <c r="AK76" s="484"/>
      <c r="AL76" s="484"/>
      <c r="AM76" s="484"/>
      <c r="AN76" s="484"/>
      <c r="AO76" s="484"/>
      <c r="AP76" s="381" t="s">
        <v>54</v>
      </c>
      <c r="AQ76" s="487"/>
      <c r="AR76" s="381" t="s">
        <v>54</v>
      </c>
      <c r="AS76" s="385" t="s">
        <v>54</v>
      </c>
      <c r="AT76" s="385" t="s">
        <v>54</v>
      </c>
      <c r="AU76" s="381" t="s">
        <v>54</v>
      </c>
      <c r="AV76" s="381" t="s">
        <v>54</v>
      </c>
      <c r="AW76" s="381" t="s">
        <v>54</v>
      </c>
      <c r="AX76" s="381" t="s">
        <v>54</v>
      </c>
      <c r="AY76" s="386" t="s">
        <v>54</v>
      </c>
      <c r="AZ76" s="392" t="s">
        <v>54</v>
      </c>
      <c r="BA76" s="490"/>
      <c r="BB76" s="392" t="s">
        <v>54</v>
      </c>
      <c r="BC76" s="490"/>
      <c r="BD76" s="392" t="s">
        <v>54</v>
      </c>
      <c r="BE76" s="392" t="s">
        <v>54</v>
      </c>
      <c r="BF76" s="392" t="s">
        <v>54</v>
      </c>
      <c r="BG76" s="381" t="s">
        <v>54</v>
      </c>
      <c r="BH76" s="381" t="s">
        <v>54</v>
      </c>
      <c r="BI76" s="381" t="s">
        <v>54</v>
      </c>
      <c r="BJ76" s="381" t="s">
        <v>54</v>
      </c>
      <c r="BK76" s="381" t="s">
        <v>54</v>
      </c>
      <c r="BL76" s="381" t="s">
        <v>54</v>
      </c>
      <c r="BM76" s="381" t="s">
        <v>54</v>
      </c>
      <c r="BN76" s="381" t="s">
        <v>54</v>
      </c>
      <c r="BO76" s="381" t="s">
        <v>54</v>
      </c>
      <c r="BP76" s="381" t="s">
        <v>54</v>
      </c>
      <c r="BQ76" s="381" t="s">
        <v>54</v>
      </c>
      <c r="BR76" s="381" t="s">
        <v>54</v>
      </c>
      <c r="BS76" s="381" t="s">
        <v>54</v>
      </c>
      <c r="BT76" s="381" t="s">
        <v>54</v>
      </c>
      <c r="BU76" s="383" t="s">
        <v>54</v>
      </c>
      <c r="BV76" s="381" t="s">
        <v>54</v>
      </c>
      <c r="BW76" s="381" t="s">
        <v>54</v>
      </c>
      <c r="BX76" s="381" t="s">
        <v>54</v>
      </c>
      <c r="BY76" s="381" t="s">
        <v>54</v>
      </c>
      <c r="BZ76" s="381" t="s">
        <v>54</v>
      </c>
      <c r="CA76" s="381" t="s">
        <v>54</v>
      </c>
      <c r="CB76" s="381" t="s">
        <v>54</v>
      </c>
      <c r="CC76" s="381" t="s">
        <v>54</v>
      </c>
      <c r="CD76" s="381" t="s">
        <v>54</v>
      </c>
      <c r="CE76" s="383" t="s">
        <v>54</v>
      </c>
      <c r="CF76" s="381" t="s">
        <v>54</v>
      </c>
      <c r="CG76" s="381" t="s">
        <v>54</v>
      </c>
      <c r="CH76" s="381" t="s">
        <v>54</v>
      </c>
      <c r="CI76" s="383" t="s">
        <v>54</v>
      </c>
      <c r="CJ76" s="381" t="s">
        <v>54</v>
      </c>
      <c r="CK76" s="381" t="s">
        <v>54</v>
      </c>
      <c r="CL76" s="381" t="s">
        <v>54</v>
      </c>
      <c r="CM76" s="499"/>
      <c r="CN76" s="499"/>
      <c r="CO76" s="493"/>
      <c r="CP76" s="493"/>
      <c r="CQ76" s="493"/>
      <c r="CR76" s="493"/>
      <c r="CS76" s="493"/>
      <c r="CT76" s="493"/>
      <c r="CU76" s="493"/>
      <c r="CV76" s="493"/>
      <c r="CW76" s="493"/>
      <c r="CX76" s="493"/>
      <c r="CY76" s="493"/>
      <c r="CZ76" s="493"/>
      <c r="DA76" s="493"/>
      <c r="DB76" s="493"/>
      <c r="DC76" s="493"/>
      <c r="DD76" s="493"/>
      <c r="DE76" s="493"/>
      <c r="DF76" s="493"/>
      <c r="DG76" s="497"/>
      <c r="DH76" s="497"/>
      <c r="DI76" s="497"/>
      <c r="DJ76" s="497"/>
      <c r="DK76" s="497"/>
      <c r="DL76" s="497"/>
      <c r="DM76" s="381" t="s">
        <v>54</v>
      </c>
      <c r="DN76" s="487"/>
      <c r="DO76" s="381" t="s">
        <v>54</v>
      </c>
      <c r="DP76" s="385" t="s">
        <v>54</v>
      </c>
      <c r="DQ76" s="385" t="s">
        <v>54</v>
      </c>
      <c r="DR76" s="381" t="s">
        <v>54</v>
      </c>
      <c r="DS76" s="381" t="s">
        <v>54</v>
      </c>
      <c r="DT76" s="381" t="s">
        <v>54</v>
      </c>
      <c r="DU76" s="381" t="s">
        <v>54</v>
      </c>
      <c r="DV76" s="381" t="s">
        <v>54</v>
      </c>
      <c r="DW76" s="381" t="s">
        <v>54</v>
      </c>
      <c r="DX76" s="490"/>
      <c r="DY76" s="405" t="s">
        <v>54</v>
      </c>
      <c r="DZ76" s="490"/>
      <c r="EA76" s="405" t="s">
        <v>54</v>
      </c>
      <c r="EB76" s="405" t="s">
        <v>54</v>
      </c>
      <c r="EC76" s="405" t="s">
        <v>54</v>
      </c>
      <c r="ED76" s="381" t="s">
        <v>54</v>
      </c>
      <c r="EE76" s="381" t="s">
        <v>54</v>
      </c>
      <c r="EF76" s="381" t="s">
        <v>54</v>
      </c>
      <c r="EG76" s="381" t="s">
        <v>54</v>
      </c>
      <c r="EH76" s="381" t="s">
        <v>54</v>
      </c>
      <c r="EI76" s="381" t="s">
        <v>54</v>
      </c>
      <c r="EJ76" s="381" t="s">
        <v>54</v>
      </c>
      <c r="EK76" s="381" t="s">
        <v>54</v>
      </c>
      <c r="EL76" s="381" t="s">
        <v>54</v>
      </c>
      <c r="EM76" s="381" t="s">
        <v>54</v>
      </c>
      <c r="EN76" s="381" t="s">
        <v>54</v>
      </c>
      <c r="EO76" s="381" t="s">
        <v>54</v>
      </c>
      <c r="EP76" s="381" t="s">
        <v>54</v>
      </c>
      <c r="EQ76" s="381" t="s">
        <v>54</v>
      </c>
      <c r="ER76" s="381" t="s">
        <v>54</v>
      </c>
      <c r="ES76" s="381" t="s">
        <v>54</v>
      </c>
      <c r="ET76" s="381" t="s">
        <v>54</v>
      </c>
      <c r="EU76" s="381" t="s">
        <v>54</v>
      </c>
    </row>
    <row r="77" spans="1:151" s="1" customFormat="1" ht="19.899999999999999" customHeight="1">
      <c r="A77" s="494"/>
      <c r="B77" s="494"/>
      <c r="C77" s="488"/>
      <c r="D77" s="511"/>
      <c r="E77" s="508"/>
      <c r="F77" s="511"/>
      <c r="G77" s="515"/>
      <c r="H77" s="511"/>
      <c r="I77" s="511"/>
      <c r="J77" s="511"/>
      <c r="K77" s="494"/>
      <c r="L77" s="498"/>
      <c r="M77" s="494"/>
      <c r="N77" s="488"/>
      <c r="O77" s="515"/>
      <c r="P77" s="519"/>
      <c r="Q77" s="494"/>
      <c r="R77" s="381" t="s">
        <v>54</v>
      </c>
      <c r="S77" s="382" t="s">
        <v>54</v>
      </c>
      <c r="T77" s="382" t="s">
        <v>54</v>
      </c>
      <c r="U77" s="398" t="s">
        <v>54</v>
      </c>
      <c r="V77" s="398" t="s">
        <v>54</v>
      </c>
      <c r="W77" s="398" t="s">
        <v>54</v>
      </c>
      <c r="X77" s="490"/>
      <c r="Y77" s="398" t="s">
        <v>54</v>
      </c>
      <c r="Z77" s="521"/>
      <c r="AA77" s="398" t="s">
        <v>54</v>
      </c>
      <c r="AB77" s="490"/>
      <c r="AC77" s="398" t="s">
        <v>54</v>
      </c>
      <c r="AD77" s="494"/>
      <c r="AE77" s="404" t="s">
        <v>54</v>
      </c>
      <c r="AF77" s="398" t="s">
        <v>54</v>
      </c>
      <c r="AG77" s="398" t="s">
        <v>54</v>
      </c>
      <c r="AH77" s="398" t="s">
        <v>54</v>
      </c>
      <c r="AI77" s="398" t="s">
        <v>54</v>
      </c>
      <c r="AJ77" s="485"/>
      <c r="AK77" s="485"/>
      <c r="AL77" s="485"/>
      <c r="AM77" s="485"/>
      <c r="AN77" s="485"/>
      <c r="AO77" s="485"/>
      <c r="AP77" s="381" t="s">
        <v>54</v>
      </c>
      <c r="AQ77" s="488"/>
      <c r="AR77" s="381" t="s">
        <v>54</v>
      </c>
      <c r="AS77" s="385" t="s">
        <v>54</v>
      </c>
      <c r="AT77" s="385" t="s">
        <v>54</v>
      </c>
      <c r="AU77" s="381" t="s">
        <v>54</v>
      </c>
      <c r="AV77" s="381" t="s">
        <v>54</v>
      </c>
      <c r="AW77" s="381" t="s">
        <v>54</v>
      </c>
      <c r="AX77" s="381" t="s">
        <v>54</v>
      </c>
      <c r="AY77" s="386" t="s">
        <v>54</v>
      </c>
      <c r="AZ77" s="392" t="s">
        <v>54</v>
      </c>
      <c r="BA77" s="490"/>
      <c r="BB77" s="392" t="s">
        <v>54</v>
      </c>
      <c r="BC77" s="490"/>
      <c r="BD77" s="392" t="s">
        <v>54</v>
      </c>
      <c r="BE77" s="392" t="s">
        <v>54</v>
      </c>
      <c r="BF77" s="392" t="s">
        <v>54</v>
      </c>
      <c r="BG77" s="381" t="s">
        <v>54</v>
      </c>
      <c r="BH77" s="381" t="s">
        <v>54</v>
      </c>
      <c r="BI77" s="381" t="s">
        <v>54</v>
      </c>
      <c r="BJ77" s="381" t="s">
        <v>54</v>
      </c>
      <c r="BK77" s="381" t="s">
        <v>54</v>
      </c>
      <c r="BL77" s="381" t="s">
        <v>54</v>
      </c>
      <c r="BM77" s="381" t="s">
        <v>54</v>
      </c>
      <c r="BN77" s="381" t="s">
        <v>54</v>
      </c>
      <c r="BO77" s="381" t="s">
        <v>54</v>
      </c>
      <c r="BP77" s="381" t="s">
        <v>54</v>
      </c>
      <c r="BQ77" s="381" t="s">
        <v>54</v>
      </c>
      <c r="BR77" s="381" t="s">
        <v>54</v>
      </c>
      <c r="BS77" s="381" t="s">
        <v>54</v>
      </c>
      <c r="BT77" s="381" t="s">
        <v>54</v>
      </c>
      <c r="BU77" s="383" t="s">
        <v>54</v>
      </c>
      <c r="BV77" s="381" t="s">
        <v>54</v>
      </c>
      <c r="BW77" s="381" t="s">
        <v>54</v>
      </c>
      <c r="BX77" s="381" t="s">
        <v>54</v>
      </c>
      <c r="BY77" s="381" t="s">
        <v>54</v>
      </c>
      <c r="BZ77" s="381" t="s">
        <v>54</v>
      </c>
      <c r="CA77" s="381" t="s">
        <v>54</v>
      </c>
      <c r="CB77" s="381" t="s">
        <v>54</v>
      </c>
      <c r="CC77" s="381" t="s">
        <v>54</v>
      </c>
      <c r="CD77" s="381" t="s">
        <v>54</v>
      </c>
      <c r="CE77" s="383" t="s">
        <v>54</v>
      </c>
      <c r="CF77" s="381" t="s">
        <v>54</v>
      </c>
      <c r="CG77" s="381" t="s">
        <v>54</v>
      </c>
      <c r="CH77" s="381" t="s">
        <v>54</v>
      </c>
      <c r="CI77" s="383" t="s">
        <v>54</v>
      </c>
      <c r="CJ77" s="381" t="s">
        <v>54</v>
      </c>
      <c r="CK77" s="381" t="s">
        <v>54</v>
      </c>
      <c r="CL77" s="381" t="s">
        <v>54</v>
      </c>
      <c r="CM77" s="500"/>
      <c r="CN77" s="500"/>
      <c r="CO77" s="494"/>
      <c r="CP77" s="494"/>
      <c r="CQ77" s="494"/>
      <c r="CR77" s="494"/>
      <c r="CS77" s="494"/>
      <c r="CT77" s="494"/>
      <c r="CU77" s="494"/>
      <c r="CV77" s="494"/>
      <c r="CW77" s="494"/>
      <c r="CX77" s="494"/>
      <c r="CY77" s="494"/>
      <c r="CZ77" s="494"/>
      <c r="DA77" s="494"/>
      <c r="DB77" s="494"/>
      <c r="DC77" s="494"/>
      <c r="DD77" s="494"/>
      <c r="DE77" s="494"/>
      <c r="DF77" s="494"/>
      <c r="DG77" s="498"/>
      <c r="DH77" s="498"/>
      <c r="DI77" s="498"/>
      <c r="DJ77" s="498"/>
      <c r="DK77" s="498"/>
      <c r="DL77" s="498"/>
      <c r="DM77" s="381" t="s">
        <v>54</v>
      </c>
      <c r="DN77" s="488"/>
      <c r="DO77" s="381" t="s">
        <v>54</v>
      </c>
      <c r="DP77" s="385" t="s">
        <v>54</v>
      </c>
      <c r="DQ77" s="385" t="s">
        <v>54</v>
      </c>
      <c r="DR77" s="381" t="s">
        <v>54</v>
      </c>
      <c r="DS77" s="381" t="s">
        <v>54</v>
      </c>
      <c r="DT77" s="381" t="s">
        <v>54</v>
      </c>
      <c r="DU77" s="381" t="s">
        <v>54</v>
      </c>
      <c r="DV77" s="381" t="s">
        <v>54</v>
      </c>
      <c r="DW77" s="381" t="s">
        <v>54</v>
      </c>
      <c r="DX77" s="490"/>
      <c r="DY77" s="405" t="s">
        <v>54</v>
      </c>
      <c r="DZ77" s="490"/>
      <c r="EA77" s="405" t="s">
        <v>54</v>
      </c>
      <c r="EB77" s="405" t="s">
        <v>54</v>
      </c>
      <c r="EC77" s="405" t="s">
        <v>54</v>
      </c>
      <c r="ED77" s="381" t="s">
        <v>54</v>
      </c>
      <c r="EE77" s="381" t="s">
        <v>54</v>
      </c>
      <c r="EF77" s="381" t="s">
        <v>54</v>
      </c>
      <c r="EG77" s="381" t="s">
        <v>54</v>
      </c>
      <c r="EH77" s="381" t="s">
        <v>54</v>
      </c>
      <c r="EI77" s="381" t="s">
        <v>54</v>
      </c>
      <c r="EJ77" s="381" t="s">
        <v>54</v>
      </c>
      <c r="EK77" s="381" t="s">
        <v>54</v>
      </c>
      <c r="EL77" s="381" t="s">
        <v>54</v>
      </c>
      <c r="EM77" s="381" t="s">
        <v>54</v>
      </c>
      <c r="EN77" s="381" t="s">
        <v>54</v>
      </c>
      <c r="EO77" s="381" t="s">
        <v>54</v>
      </c>
      <c r="EP77" s="381" t="s">
        <v>54</v>
      </c>
      <c r="EQ77" s="381" t="s">
        <v>54</v>
      </c>
      <c r="ER77" s="381" t="s">
        <v>54</v>
      </c>
      <c r="ES77" s="381" t="s">
        <v>54</v>
      </c>
      <c r="ET77" s="381" t="s">
        <v>54</v>
      </c>
      <c r="EU77" s="381" t="s">
        <v>54</v>
      </c>
    </row>
    <row r="78" spans="1:151" s="1" customFormat="1" ht="19.899999999999999" customHeight="1">
      <c r="A78" s="491">
        <v>6</v>
      </c>
      <c r="B78" s="491">
        <v>6</v>
      </c>
      <c r="C78" s="486" t="s">
        <v>2797</v>
      </c>
      <c r="D78" s="491" t="s">
        <v>3081</v>
      </c>
      <c r="E78" s="495" t="s">
        <v>2924</v>
      </c>
      <c r="F78" s="491" t="s">
        <v>2963</v>
      </c>
      <c r="G78" s="512" t="s">
        <v>2964</v>
      </c>
      <c r="H78" s="491" t="s">
        <v>2965</v>
      </c>
      <c r="I78" s="491" t="s">
        <v>2966</v>
      </c>
      <c r="J78" s="491" t="s">
        <v>52</v>
      </c>
      <c r="K78" s="516" t="s">
        <v>3121</v>
      </c>
      <c r="L78" s="495" t="s">
        <v>3133</v>
      </c>
      <c r="M78" s="491" t="s">
        <v>2935</v>
      </c>
      <c r="N78" s="486" t="s">
        <v>3133</v>
      </c>
      <c r="O78" s="512" t="s">
        <v>2935</v>
      </c>
      <c r="P78" s="517" t="s">
        <v>2922</v>
      </c>
      <c r="Q78" s="491">
        <v>4</v>
      </c>
      <c r="R78" s="381" t="s">
        <v>2968</v>
      </c>
      <c r="S78" s="382" t="s">
        <v>52</v>
      </c>
      <c r="T78" s="382" t="s">
        <v>52</v>
      </c>
      <c r="U78" s="390" t="s">
        <v>52</v>
      </c>
      <c r="V78" s="398" t="s">
        <v>52</v>
      </c>
      <c r="W78" s="398" t="s">
        <v>52</v>
      </c>
      <c r="X78" s="489">
        <v>100</v>
      </c>
      <c r="Y78" s="398" t="s">
        <v>52</v>
      </c>
      <c r="Z78" s="520" t="s">
        <v>52</v>
      </c>
      <c r="AA78" s="398" t="s">
        <v>52</v>
      </c>
      <c r="AB78" s="491">
        <v>100</v>
      </c>
      <c r="AC78" s="398" t="s">
        <v>52</v>
      </c>
      <c r="AD78" s="491" t="s">
        <v>52</v>
      </c>
      <c r="AE78" s="404" t="s">
        <v>52</v>
      </c>
      <c r="AF78" s="398" t="s">
        <v>52</v>
      </c>
      <c r="AG78" s="398" t="s">
        <v>52</v>
      </c>
      <c r="AH78" s="398" t="s">
        <v>52</v>
      </c>
      <c r="AI78" s="398" t="s">
        <v>52</v>
      </c>
      <c r="AJ78" s="483" t="s">
        <v>54</v>
      </c>
      <c r="AK78" s="483" t="s">
        <v>54</v>
      </c>
      <c r="AL78" s="483" t="s">
        <v>54</v>
      </c>
      <c r="AM78" s="483" t="s">
        <v>54</v>
      </c>
      <c r="AN78" s="483" t="s">
        <v>54</v>
      </c>
      <c r="AO78" s="483" t="s">
        <v>54</v>
      </c>
      <c r="AP78" s="381" t="s">
        <v>54</v>
      </c>
      <c r="AQ78" s="486" t="s">
        <v>54</v>
      </c>
      <c r="AR78" s="381" t="s">
        <v>54</v>
      </c>
      <c r="AS78" s="385" t="s">
        <v>54</v>
      </c>
      <c r="AT78" s="385" t="s">
        <v>54</v>
      </c>
      <c r="AU78" s="381" t="s">
        <v>54</v>
      </c>
      <c r="AV78" s="381" t="s">
        <v>54</v>
      </c>
      <c r="AW78" s="381" t="s">
        <v>54</v>
      </c>
      <c r="AX78" s="381" t="s">
        <v>54</v>
      </c>
      <c r="AY78" s="386" t="s">
        <v>54</v>
      </c>
      <c r="AZ78" s="392" t="s">
        <v>54</v>
      </c>
      <c r="BA78" s="489" t="s">
        <v>54</v>
      </c>
      <c r="BB78" s="392" t="s">
        <v>54</v>
      </c>
      <c r="BC78" s="489" t="s">
        <v>54</v>
      </c>
      <c r="BD78" s="392" t="s">
        <v>54</v>
      </c>
      <c r="BE78" s="392" t="s">
        <v>54</v>
      </c>
      <c r="BF78" s="392" t="s">
        <v>54</v>
      </c>
      <c r="BG78" s="381" t="s">
        <v>54</v>
      </c>
      <c r="BH78" s="381" t="s">
        <v>54</v>
      </c>
      <c r="BI78" s="381" t="s">
        <v>54</v>
      </c>
      <c r="BJ78" s="381" t="s">
        <v>54</v>
      </c>
      <c r="BK78" s="381" t="s">
        <v>54</v>
      </c>
      <c r="BL78" s="381" t="s">
        <v>54</v>
      </c>
      <c r="BM78" s="381" t="s">
        <v>54</v>
      </c>
      <c r="BN78" s="381" t="s">
        <v>54</v>
      </c>
      <c r="BO78" s="381" t="s">
        <v>54</v>
      </c>
      <c r="BP78" s="381" t="s">
        <v>54</v>
      </c>
      <c r="BQ78" s="381" t="s">
        <v>54</v>
      </c>
      <c r="BR78" s="381" t="s">
        <v>54</v>
      </c>
      <c r="BS78" s="381" t="s">
        <v>54</v>
      </c>
      <c r="BT78" s="381" t="s">
        <v>54</v>
      </c>
      <c r="BU78" s="383" t="s">
        <v>54</v>
      </c>
      <c r="BV78" s="381" t="s">
        <v>54</v>
      </c>
      <c r="BW78" s="381" t="s">
        <v>54</v>
      </c>
      <c r="BX78" s="381" t="s">
        <v>54</v>
      </c>
      <c r="BY78" s="381" t="s">
        <v>54</v>
      </c>
      <c r="BZ78" s="381" t="s">
        <v>54</v>
      </c>
      <c r="CA78" s="381" t="s">
        <v>54</v>
      </c>
      <c r="CB78" s="381" t="s">
        <v>54</v>
      </c>
      <c r="CC78" s="381" t="s">
        <v>54</v>
      </c>
      <c r="CD78" s="381" t="s">
        <v>54</v>
      </c>
      <c r="CE78" s="383" t="s">
        <v>54</v>
      </c>
      <c r="CF78" s="381" t="s">
        <v>54</v>
      </c>
      <c r="CG78" s="381" t="s">
        <v>54</v>
      </c>
      <c r="CH78" s="381" t="s">
        <v>54</v>
      </c>
      <c r="CI78" s="383" t="s">
        <v>54</v>
      </c>
      <c r="CJ78" s="381" t="s">
        <v>54</v>
      </c>
      <c r="CK78" s="381" t="s">
        <v>54</v>
      </c>
      <c r="CL78" s="381" t="s">
        <v>54</v>
      </c>
      <c r="CM78" s="483" t="s">
        <v>54</v>
      </c>
      <c r="CN78" s="483" t="s">
        <v>54</v>
      </c>
      <c r="CO78" s="491" t="s">
        <v>54</v>
      </c>
      <c r="CP78" s="491" t="s">
        <v>54</v>
      </c>
      <c r="CQ78" s="491" t="s">
        <v>54</v>
      </c>
      <c r="CR78" s="491" t="s">
        <v>54</v>
      </c>
      <c r="CS78" s="491" t="s">
        <v>54</v>
      </c>
      <c r="CT78" s="542" t="s">
        <v>206</v>
      </c>
      <c r="CU78" s="491">
        <v>2015</v>
      </c>
      <c r="CV78" s="491" t="s">
        <v>2864</v>
      </c>
      <c r="CW78" s="491" t="s">
        <v>1975</v>
      </c>
      <c r="CX78" s="542" t="s">
        <v>54</v>
      </c>
      <c r="CY78" s="542" t="s">
        <v>54</v>
      </c>
      <c r="CZ78" s="542" t="s">
        <v>54</v>
      </c>
      <c r="DA78" s="542" t="s">
        <v>54</v>
      </c>
      <c r="DB78" s="542" t="s">
        <v>54</v>
      </c>
      <c r="DC78" s="692" t="s">
        <v>3082</v>
      </c>
      <c r="DD78" s="692" t="s">
        <v>3083</v>
      </c>
      <c r="DE78" s="692" t="s">
        <v>3017</v>
      </c>
      <c r="DF78" s="491" t="s">
        <v>52</v>
      </c>
      <c r="DG78" s="495" t="s">
        <v>54</v>
      </c>
      <c r="DH78" s="495" t="s">
        <v>54</v>
      </c>
      <c r="DI78" s="495" t="s">
        <v>54</v>
      </c>
      <c r="DJ78" s="495" t="s">
        <v>54</v>
      </c>
      <c r="DK78" s="495" t="s">
        <v>54</v>
      </c>
      <c r="DL78" s="495" t="s">
        <v>54</v>
      </c>
      <c r="DM78" s="381" t="s">
        <v>54</v>
      </c>
      <c r="DN78" s="486" t="s">
        <v>54</v>
      </c>
      <c r="DO78" s="381" t="s">
        <v>54</v>
      </c>
      <c r="DP78" s="385" t="s">
        <v>54</v>
      </c>
      <c r="DQ78" s="385" t="s">
        <v>54</v>
      </c>
      <c r="DR78" s="381" t="s">
        <v>54</v>
      </c>
      <c r="DS78" s="381" t="s">
        <v>54</v>
      </c>
      <c r="DT78" s="381" t="s">
        <v>54</v>
      </c>
      <c r="DU78" s="381" t="s">
        <v>54</v>
      </c>
      <c r="DV78" s="381" t="s">
        <v>54</v>
      </c>
      <c r="DW78" s="381" t="s">
        <v>54</v>
      </c>
      <c r="DX78" s="489" t="s">
        <v>54</v>
      </c>
      <c r="DY78" s="405" t="s">
        <v>54</v>
      </c>
      <c r="DZ78" s="489" t="s">
        <v>54</v>
      </c>
      <c r="EA78" s="405" t="s">
        <v>54</v>
      </c>
      <c r="EB78" s="405" t="s">
        <v>54</v>
      </c>
      <c r="EC78" s="405" t="s">
        <v>54</v>
      </c>
      <c r="ED78" s="381" t="s">
        <v>54</v>
      </c>
      <c r="EE78" s="381" t="s">
        <v>54</v>
      </c>
      <c r="EF78" s="381" t="s">
        <v>54</v>
      </c>
      <c r="EG78" s="381" t="s">
        <v>54</v>
      </c>
      <c r="EH78" s="381" t="s">
        <v>54</v>
      </c>
      <c r="EI78" s="381" t="s">
        <v>54</v>
      </c>
      <c r="EJ78" s="381" t="s">
        <v>54</v>
      </c>
      <c r="EK78" s="381" t="s">
        <v>54</v>
      </c>
      <c r="EL78" s="381" t="s">
        <v>54</v>
      </c>
      <c r="EM78" s="381" t="s">
        <v>54</v>
      </c>
      <c r="EN78" s="381" t="s">
        <v>54</v>
      </c>
      <c r="EO78" s="381" t="s">
        <v>54</v>
      </c>
      <c r="EP78" s="381" t="s">
        <v>54</v>
      </c>
      <c r="EQ78" s="381" t="s">
        <v>54</v>
      </c>
      <c r="ER78" s="381" t="s">
        <v>54</v>
      </c>
      <c r="ES78" s="381" t="s">
        <v>54</v>
      </c>
      <c r="ET78" s="381" t="s">
        <v>54</v>
      </c>
      <c r="EU78" s="381" t="s">
        <v>54</v>
      </c>
    </row>
    <row r="79" spans="1:151" s="1" customFormat="1" ht="19.899999999999999" customHeight="1">
      <c r="A79" s="492"/>
      <c r="B79" s="492"/>
      <c r="C79" s="487"/>
      <c r="D79" s="509"/>
      <c r="E79" s="506"/>
      <c r="F79" s="509"/>
      <c r="G79" s="513"/>
      <c r="H79" s="509"/>
      <c r="I79" s="509"/>
      <c r="J79" s="509"/>
      <c r="K79" s="492"/>
      <c r="L79" s="496"/>
      <c r="M79" s="492"/>
      <c r="N79" s="487"/>
      <c r="O79" s="513"/>
      <c r="P79" s="518"/>
      <c r="Q79" s="492"/>
      <c r="R79" s="381" t="s">
        <v>2967</v>
      </c>
      <c r="S79" s="382" t="s">
        <v>52</v>
      </c>
      <c r="T79" s="382" t="s">
        <v>52</v>
      </c>
      <c r="U79" s="398" t="s">
        <v>52</v>
      </c>
      <c r="V79" s="398" t="s">
        <v>52</v>
      </c>
      <c r="W79" s="398" t="s">
        <v>52</v>
      </c>
      <c r="X79" s="490"/>
      <c r="Y79" s="398" t="s">
        <v>52</v>
      </c>
      <c r="Z79" s="521"/>
      <c r="AA79" s="398" t="s">
        <v>52</v>
      </c>
      <c r="AB79" s="492"/>
      <c r="AC79" s="398" t="s">
        <v>52</v>
      </c>
      <c r="AD79" s="492"/>
      <c r="AE79" s="404" t="s">
        <v>52</v>
      </c>
      <c r="AF79" s="398" t="s">
        <v>52</v>
      </c>
      <c r="AG79" s="398" t="s">
        <v>52</v>
      </c>
      <c r="AH79" s="398" t="s">
        <v>52</v>
      </c>
      <c r="AI79" s="398" t="s">
        <v>52</v>
      </c>
      <c r="AJ79" s="484"/>
      <c r="AK79" s="484"/>
      <c r="AL79" s="484"/>
      <c r="AM79" s="484"/>
      <c r="AN79" s="484"/>
      <c r="AO79" s="484"/>
      <c r="AP79" s="381" t="s">
        <v>54</v>
      </c>
      <c r="AQ79" s="487"/>
      <c r="AR79" s="381" t="s">
        <v>54</v>
      </c>
      <c r="AS79" s="385" t="s">
        <v>54</v>
      </c>
      <c r="AT79" s="385" t="s">
        <v>54</v>
      </c>
      <c r="AU79" s="381" t="s">
        <v>54</v>
      </c>
      <c r="AV79" s="381" t="s">
        <v>54</v>
      </c>
      <c r="AW79" s="381" t="s">
        <v>54</v>
      </c>
      <c r="AX79" s="381" t="s">
        <v>54</v>
      </c>
      <c r="AY79" s="386" t="s">
        <v>54</v>
      </c>
      <c r="AZ79" s="392" t="s">
        <v>54</v>
      </c>
      <c r="BA79" s="490"/>
      <c r="BB79" s="392" t="s">
        <v>54</v>
      </c>
      <c r="BC79" s="490"/>
      <c r="BD79" s="392" t="s">
        <v>54</v>
      </c>
      <c r="BE79" s="392" t="s">
        <v>54</v>
      </c>
      <c r="BF79" s="392" t="s">
        <v>54</v>
      </c>
      <c r="BG79" s="381" t="s">
        <v>54</v>
      </c>
      <c r="BH79" s="381" t="s">
        <v>54</v>
      </c>
      <c r="BI79" s="381" t="s">
        <v>54</v>
      </c>
      <c r="BJ79" s="381" t="s">
        <v>54</v>
      </c>
      <c r="BK79" s="381" t="s">
        <v>54</v>
      </c>
      <c r="BL79" s="381" t="s">
        <v>54</v>
      </c>
      <c r="BM79" s="381" t="s">
        <v>54</v>
      </c>
      <c r="BN79" s="381" t="s">
        <v>54</v>
      </c>
      <c r="BO79" s="381" t="s">
        <v>54</v>
      </c>
      <c r="BP79" s="381" t="s">
        <v>54</v>
      </c>
      <c r="BQ79" s="381" t="s">
        <v>54</v>
      </c>
      <c r="BR79" s="381" t="s">
        <v>54</v>
      </c>
      <c r="BS79" s="381" t="s">
        <v>54</v>
      </c>
      <c r="BT79" s="381" t="s">
        <v>54</v>
      </c>
      <c r="BU79" s="383" t="s">
        <v>54</v>
      </c>
      <c r="BV79" s="381" t="s">
        <v>54</v>
      </c>
      <c r="BW79" s="381" t="s">
        <v>54</v>
      </c>
      <c r="BX79" s="381" t="s">
        <v>54</v>
      </c>
      <c r="BY79" s="381" t="s">
        <v>54</v>
      </c>
      <c r="BZ79" s="381" t="s">
        <v>54</v>
      </c>
      <c r="CA79" s="381" t="s">
        <v>54</v>
      </c>
      <c r="CB79" s="381" t="s">
        <v>54</v>
      </c>
      <c r="CC79" s="381" t="s">
        <v>54</v>
      </c>
      <c r="CD79" s="381" t="s">
        <v>54</v>
      </c>
      <c r="CE79" s="383" t="s">
        <v>54</v>
      </c>
      <c r="CF79" s="381" t="s">
        <v>54</v>
      </c>
      <c r="CG79" s="381" t="s">
        <v>54</v>
      </c>
      <c r="CH79" s="381" t="s">
        <v>54</v>
      </c>
      <c r="CI79" s="383" t="s">
        <v>54</v>
      </c>
      <c r="CJ79" s="381" t="s">
        <v>54</v>
      </c>
      <c r="CK79" s="381" t="s">
        <v>54</v>
      </c>
      <c r="CL79" s="381" t="s">
        <v>54</v>
      </c>
      <c r="CM79" s="499"/>
      <c r="CN79" s="499"/>
      <c r="CO79" s="492"/>
      <c r="CP79" s="492"/>
      <c r="CQ79" s="492"/>
      <c r="CR79" s="492"/>
      <c r="CS79" s="492"/>
      <c r="CT79" s="492"/>
      <c r="CU79" s="492"/>
      <c r="CV79" s="492"/>
      <c r="CW79" s="492"/>
      <c r="CX79" s="492"/>
      <c r="CY79" s="492"/>
      <c r="CZ79" s="492"/>
      <c r="DA79" s="492"/>
      <c r="DB79" s="492"/>
      <c r="DC79" s="693"/>
      <c r="DD79" s="693"/>
      <c r="DE79" s="693"/>
      <c r="DF79" s="492"/>
      <c r="DG79" s="496"/>
      <c r="DH79" s="496"/>
      <c r="DI79" s="496"/>
      <c r="DJ79" s="496"/>
      <c r="DK79" s="496"/>
      <c r="DL79" s="496"/>
      <c r="DM79" s="381" t="s">
        <v>54</v>
      </c>
      <c r="DN79" s="487"/>
      <c r="DO79" s="381" t="s">
        <v>54</v>
      </c>
      <c r="DP79" s="385" t="s">
        <v>54</v>
      </c>
      <c r="DQ79" s="385" t="s">
        <v>54</v>
      </c>
      <c r="DR79" s="381" t="s">
        <v>54</v>
      </c>
      <c r="DS79" s="381" t="s">
        <v>54</v>
      </c>
      <c r="DT79" s="381" t="s">
        <v>54</v>
      </c>
      <c r="DU79" s="381" t="s">
        <v>54</v>
      </c>
      <c r="DV79" s="381" t="s">
        <v>54</v>
      </c>
      <c r="DW79" s="381" t="s">
        <v>54</v>
      </c>
      <c r="DX79" s="490"/>
      <c r="DY79" s="405" t="s">
        <v>54</v>
      </c>
      <c r="DZ79" s="490"/>
      <c r="EA79" s="405" t="s">
        <v>54</v>
      </c>
      <c r="EB79" s="405" t="s">
        <v>54</v>
      </c>
      <c r="EC79" s="405" t="s">
        <v>54</v>
      </c>
      <c r="ED79" s="381" t="s">
        <v>54</v>
      </c>
      <c r="EE79" s="381" t="s">
        <v>54</v>
      </c>
      <c r="EF79" s="381" t="s">
        <v>54</v>
      </c>
      <c r="EG79" s="381" t="s">
        <v>54</v>
      </c>
      <c r="EH79" s="381" t="s">
        <v>54</v>
      </c>
      <c r="EI79" s="381" t="s">
        <v>54</v>
      </c>
      <c r="EJ79" s="381" t="s">
        <v>54</v>
      </c>
      <c r="EK79" s="381" t="s">
        <v>54</v>
      </c>
      <c r="EL79" s="381" t="s">
        <v>54</v>
      </c>
      <c r="EM79" s="381" t="s">
        <v>54</v>
      </c>
      <c r="EN79" s="381" t="s">
        <v>54</v>
      </c>
      <c r="EO79" s="381" t="s">
        <v>54</v>
      </c>
      <c r="EP79" s="381" t="s">
        <v>54</v>
      </c>
      <c r="EQ79" s="381" t="s">
        <v>54</v>
      </c>
      <c r="ER79" s="381" t="s">
        <v>54</v>
      </c>
      <c r="ES79" s="381" t="s">
        <v>54</v>
      </c>
      <c r="ET79" s="381" t="s">
        <v>54</v>
      </c>
      <c r="EU79" s="381" t="s">
        <v>54</v>
      </c>
    </row>
    <row r="80" spans="1:151" s="1" customFormat="1" ht="19.899999999999999" customHeight="1">
      <c r="A80" s="493"/>
      <c r="B80" s="493"/>
      <c r="C80" s="487"/>
      <c r="D80" s="510"/>
      <c r="E80" s="507"/>
      <c r="F80" s="510"/>
      <c r="G80" s="514"/>
      <c r="H80" s="510"/>
      <c r="I80" s="510"/>
      <c r="J80" s="510"/>
      <c r="K80" s="493"/>
      <c r="L80" s="497"/>
      <c r="M80" s="493"/>
      <c r="N80" s="487"/>
      <c r="O80" s="514"/>
      <c r="P80" s="518"/>
      <c r="Q80" s="493"/>
      <c r="R80" s="381" t="s">
        <v>2728</v>
      </c>
      <c r="S80" s="382" t="s">
        <v>52</v>
      </c>
      <c r="T80" s="382" t="s">
        <v>52</v>
      </c>
      <c r="U80" s="398" t="s">
        <v>52</v>
      </c>
      <c r="V80" s="398" t="s">
        <v>52</v>
      </c>
      <c r="W80" s="398" t="s">
        <v>52</v>
      </c>
      <c r="X80" s="490"/>
      <c r="Y80" s="398" t="s">
        <v>52</v>
      </c>
      <c r="Z80" s="521"/>
      <c r="AA80" s="398" t="s">
        <v>52</v>
      </c>
      <c r="AB80" s="493"/>
      <c r="AC80" s="398" t="s">
        <v>52</v>
      </c>
      <c r="AD80" s="493"/>
      <c r="AE80" s="404" t="s">
        <v>52</v>
      </c>
      <c r="AF80" s="398" t="s">
        <v>52</v>
      </c>
      <c r="AG80" s="398" t="s">
        <v>52</v>
      </c>
      <c r="AH80" s="398" t="s">
        <v>52</v>
      </c>
      <c r="AI80" s="398" t="s">
        <v>52</v>
      </c>
      <c r="AJ80" s="484"/>
      <c r="AK80" s="484"/>
      <c r="AL80" s="484"/>
      <c r="AM80" s="484"/>
      <c r="AN80" s="484"/>
      <c r="AO80" s="484"/>
      <c r="AP80" s="381" t="s">
        <v>54</v>
      </c>
      <c r="AQ80" s="487"/>
      <c r="AR80" s="381" t="s">
        <v>54</v>
      </c>
      <c r="AS80" s="385" t="s">
        <v>54</v>
      </c>
      <c r="AT80" s="385" t="s">
        <v>54</v>
      </c>
      <c r="AU80" s="381" t="s">
        <v>54</v>
      </c>
      <c r="AV80" s="381" t="s">
        <v>54</v>
      </c>
      <c r="AW80" s="381" t="s">
        <v>54</v>
      </c>
      <c r="AX80" s="381" t="s">
        <v>54</v>
      </c>
      <c r="AY80" s="386" t="s">
        <v>54</v>
      </c>
      <c r="AZ80" s="392" t="s">
        <v>54</v>
      </c>
      <c r="BA80" s="490"/>
      <c r="BB80" s="392" t="s">
        <v>54</v>
      </c>
      <c r="BC80" s="490"/>
      <c r="BD80" s="392" t="s">
        <v>54</v>
      </c>
      <c r="BE80" s="392" t="s">
        <v>54</v>
      </c>
      <c r="BF80" s="392" t="s">
        <v>54</v>
      </c>
      <c r="BG80" s="381" t="s">
        <v>54</v>
      </c>
      <c r="BH80" s="381" t="s">
        <v>54</v>
      </c>
      <c r="BI80" s="381" t="s">
        <v>54</v>
      </c>
      <c r="BJ80" s="381" t="s">
        <v>54</v>
      </c>
      <c r="BK80" s="381" t="s">
        <v>54</v>
      </c>
      <c r="BL80" s="381" t="s">
        <v>54</v>
      </c>
      <c r="BM80" s="381" t="s">
        <v>54</v>
      </c>
      <c r="BN80" s="381" t="s">
        <v>54</v>
      </c>
      <c r="BO80" s="381" t="s">
        <v>54</v>
      </c>
      <c r="BP80" s="381" t="s">
        <v>54</v>
      </c>
      <c r="BQ80" s="381" t="s">
        <v>54</v>
      </c>
      <c r="BR80" s="381" t="s">
        <v>54</v>
      </c>
      <c r="BS80" s="381" t="s">
        <v>54</v>
      </c>
      <c r="BT80" s="381" t="s">
        <v>54</v>
      </c>
      <c r="BU80" s="383" t="s">
        <v>54</v>
      </c>
      <c r="BV80" s="381" t="s">
        <v>54</v>
      </c>
      <c r="BW80" s="381" t="s">
        <v>54</v>
      </c>
      <c r="BX80" s="381" t="s">
        <v>54</v>
      </c>
      <c r="BY80" s="381" t="s">
        <v>54</v>
      </c>
      <c r="BZ80" s="381" t="s">
        <v>54</v>
      </c>
      <c r="CA80" s="381" t="s">
        <v>54</v>
      </c>
      <c r="CB80" s="381" t="s">
        <v>54</v>
      </c>
      <c r="CC80" s="381" t="s">
        <v>54</v>
      </c>
      <c r="CD80" s="381" t="s">
        <v>54</v>
      </c>
      <c r="CE80" s="383" t="s">
        <v>54</v>
      </c>
      <c r="CF80" s="381" t="s">
        <v>54</v>
      </c>
      <c r="CG80" s="381" t="s">
        <v>54</v>
      </c>
      <c r="CH80" s="381" t="s">
        <v>54</v>
      </c>
      <c r="CI80" s="383" t="s">
        <v>54</v>
      </c>
      <c r="CJ80" s="381" t="s">
        <v>54</v>
      </c>
      <c r="CK80" s="381" t="s">
        <v>54</v>
      </c>
      <c r="CL80" s="381" t="s">
        <v>54</v>
      </c>
      <c r="CM80" s="499"/>
      <c r="CN80" s="499"/>
      <c r="CO80" s="493"/>
      <c r="CP80" s="493"/>
      <c r="CQ80" s="493"/>
      <c r="CR80" s="493"/>
      <c r="CS80" s="493"/>
      <c r="CT80" s="493"/>
      <c r="CU80" s="493"/>
      <c r="CV80" s="493"/>
      <c r="CW80" s="493"/>
      <c r="CX80" s="493"/>
      <c r="CY80" s="493"/>
      <c r="CZ80" s="493"/>
      <c r="DA80" s="493"/>
      <c r="DB80" s="493"/>
      <c r="DC80" s="694"/>
      <c r="DD80" s="694"/>
      <c r="DE80" s="694"/>
      <c r="DF80" s="493"/>
      <c r="DG80" s="497"/>
      <c r="DH80" s="497"/>
      <c r="DI80" s="497"/>
      <c r="DJ80" s="497"/>
      <c r="DK80" s="497"/>
      <c r="DL80" s="497"/>
      <c r="DM80" s="381" t="s">
        <v>54</v>
      </c>
      <c r="DN80" s="487"/>
      <c r="DO80" s="381" t="s">
        <v>54</v>
      </c>
      <c r="DP80" s="385" t="s">
        <v>54</v>
      </c>
      <c r="DQ80" s="385" t="s">
        <v>54</v>
      </c>
      <c r="DR80" s="381" t="s">
        <v>54</v>
      </c>
      <c r="DS80" s="381" t="s">
        <v>54</v>
      </c>
      <c r="DT80" s="381" t="s">
        <v>54</v>
      </c>
      <c r="DU80" s="381" t="s">
        <v>54</v>
      </c>
      <c r="DV80" s="381" t="s">
        <v>54</v>
      </c>
      <c r="DW80" s="381" t="s">
        <v>54</v>
      </c>
      <c r="DX80" s="490"/>
      <c r="DY80" s="405" t="s">
        <v>54</v>
      </c>
      <c r="DZ80" s="490"/>
      <c r="EA80" s="405" t="s">
        <v>54</v>
      </c>
      <c r="EB80" s="405" t="s">
        <v>54</v>
      </c>
      <c r="EC80" s="405" t="s">
        <v>54</v>
      </c>
      <c r="ED80" s="381" t="s">
        <v>54</v>
      </c>
      <c r="EE80" s="381" t="s">
        <v>54</v>
      </c>
      <c r="EF80" s="381" t="s">
        <v>54</v>
      </c>
      <c r="EG80" s="381" t="s">
        <v>54</v>
      </c>
      <c r="EH80" s="381" t="s">
        <v>54</v>
      </c>
      <c r="EI80" s="381" t="s">
        <v>54</v>
      </c>
      <c r="EJ80" s="381" t="s">
        <v>54</v>
      </c>
      <c r="EK80" s="381" t="s">
        <v>54</v>
      </c>
      <c r="EL80" s="381" t="s">
        <v>54</v>
      </c>
      <c r="EM80" s="381" t="s">
        <v>54</v>
      </c>
      <c r="EN80" s="381" t="s">
        <v>54</v>
      </c>
      <c r="EO80" s="381" t="s">
        <v>54</v>
      </c>
      <c r="EP80" s="381" t="s">
        <v>54</v>
      </c>
      <c r="EQ80" s="381" t="s">
        <v>54</v>
      </c>
      <c r="ER80" s="381" t="s">
        <v>54</v>
      </c>
      <c r="ES80" s="381" t="s">
        <v>54</v>
      </c>
      <c r="ET80" s="381" t="s">
        <v>54</v>
      </c>
      <c r="EU80" s="381" t="s">
        <v>54</v>
      </c>
    </row>
    <row r="81" spans="1:151" s="1" customFormat="1" ht="19.899999999999999" customHeight="1">
      <c r="A81" s="494"/>
      <c r="B81" s="494"/>
      <c r="C81" s="488"/>
      <c r="D81" s="511"/>
      <c r="E81" s="508"/>
      <c r="F81" s="511"/>
      <c r="G81" s="515"/>
      <c r="H81" s="511"/>
      <c r="I81" s="511"/>
      <c r="J81" s="511"/>
      <c r="K81" s="494"/>
      <c r="L81" s="498"/>
      <c r="M81" s="494"/>
      <c r="N81" s="488"/>
      <c r="O81" s="515"/>
      <c r="P81" s="519"/>
      <c r="Q81" s="494"/>
      <c r="R81" s="381" t="s">
        <v>2861</v>
      </c>
      <c r="S81" s="382" t="s">
        <v>52</v>
      </c>
      <c r="T81" s="382" t="s">
        <v>52</v>
      </c>
      <c r="U81" s="398" t="s">
        <v>52</v>
      </c>
      <c r="V81" s="398" t="s">
        <v>52</v>
      </c>
      <c r="W81" s="398" t="s">
        <v>52</v>
      </c>
      <c r="X81" s="490"/>
      <c r="Y81" s="398" t="s">
        <v>52</v>
      </c>
      <c r="Z81" s="521"/>
      <c r="AA81" s="398" t="s">
        <v>52</v>
      </c>
      <c r="AB81" s="494"/>
      <c r="AC81" s="398" t="s">
        <v>52</v>
      </c>
      <c r="AD81" s="494"/>
      <c r="AE81" s="404" t="s">
        <v>52</v>
      </c>
      <c r="AF81" s="398" t="s">
        <v>52</v>
      </c>
      <c r="AG81" s="398" t="s">
        <v>52</v>
      </c>
      <c r="AH81" s="398" t="s">
        <v>52</v>
      </c>
      <c r="AI81" s="398" t="s">
        <v>52</v>
      </c>
      <c r="AJ81" s="485"/>
      <c r="AK81" s="485"/>
      <c r="AL81" s="485"/>
      <c r="AM81" s="485"/>
      <c r="AN81" s="485"/>
      <c r="AO81" s="485"/>
      <c r="AP81" s="381" t="s">
        <v>54</v>
      </c>
      <c r="AQ81" s="488"/>
      <c r="AR81" s="381" t="s">
        <v>54</v>
      </c>
      <c r="AS81" s="385" t="s">
        <v>54</v>
      </c>
      <c r="AT81" s="385" t="s">
        <v>54</v>
      </c>
      <c r="AU81" s="381" t="s">
        <v>54</v>
      </c>
      <c r="AV81" s="381" t="s">
        <v>54</v>
      </c>
      <c r="AW81" s="381" t="s">
        <v>54</v>
      </c>
      <c r="AX81" s="381" t="s">
        <v>54</v>
      </c>
      <c r="AY81" s="386" t="s">
        <v>54</v>
      </c>
      <c r="AZ81" s="392" t="s">
        <v>54</v>
      </c>
      <c r="BA81" s="490"/>
      <c r="BB81" s="392" t="s">
        <v>54</v>
      </c>
      <c r="BC81" s="490"/>
      <c r="BD81" s="392" t="s">
        <v>54</v>
      </c>
      <c r="BE81" s="392" t="s">
        <v>54</v>
      </c>
      <c r="BF81" s="392" t="s">
        <v>54</v>
      </c>
      <c r="BG81" s="381" t="s">
        <v>54</v>
      </c>
      <c r="BH81" s="381" t="s">
        <v>54</v>
      </c>
      <c r="BI81" s="381" t="s">
        <v>54</v>
      </c>
      <c r="BJ81" s="381" t="s">
        <v>54</v>
      </c>
      <c r="BK81" s="381" t="s">
        <v>54</v>
      </c>
      <c r="BL81" s="381" t="s">
        <v>54</v>
      </c>
      <c r="BM81" s="381" t="s">
        <v>54</v>
      </c>
      <c r="BN81" s="381" t="s">
        <v>54</v>
      </c>
      <c r="BO81" s="381" t="s">
        <v>54</v>
      </c>
      <c r="BP81" s="381" t="s">
        <v>54</v>
      </c>
      <c r="BQ81" s="381" t="s">
        <v>54</v>
      </c>
      <c r="BR81" s="381" t="s">
        <v>54</v>
      </c>
      <c r="BS81" s="381" t="s">
        <v>54</v>
      </c>
      <c r="BT81" s="381" t="s">
        <v>54</v>
      </c>
      <c r="BU81" s="383" t="s">
        <v>54</v>
      </c>
      <c r="BV81" s="381" t="s">
        <v>54</v>
      </c>
      <c r="BW81" s="381" t="s">
        <v>54</v>
      </c>
      <c r="BX81" s="381" t="s">
        <v>54</v>
      </c>
      <c r="BY81" s="381" t="s">
        <v>54</v>
      </c>
      <c r="BZ81" s="381" t="s">
        <v>54</v>
      </c>
      <c r="CA81" s="381" t="s">
        <v>54</v>
      </c>
      <c r="CB81" s="381" t="s">
        <v>54</v>
      </c>
      <c r="CC81" s="381" t="s">
        <v>54</v>
      </c>
      <c r="CD81" s="381" t="s">
        <v>54</v>
      </c>
      <c r="CE81" s="383" t="s">
        <v>54</v>
      </c>
      <c r="CF81" s="381" t="s">
        <v>54</v>
      </c>
      <c r="CG81" s="381" t="s">
        <v>54</v>
      </c>
      <c r="CH81" s="381" t="s">
        <v>54</v>
      </c>
      <c r="CI81" s="383" t="s">
        <v>54</v>
      </c>
      <c r="CJ81" s="381" t="s">
        <v>54</v>
      </c>
      <c r="CK81" s="381" t="s">
        <v>54</v>
      </c>
      <c r="CL81" s="381" t="s">
        <v>54</v>
      </c>
      <c r="CM81" s="500"/>
      <c r="CN81" s="500"/>
      <c r="CO81" s="494"/>
      <c r="CP81" s="494"/>
      <c r="CQ81" s="494"/>
      <c r="CR81" s="494"/>
      <c r="CS81" s="494"/>
      <c r="CT81" s="494"/>
      <c r="CU81" s="494"/>
      <c r="CV81" s="494"/>
      <c r="CW81" s="494"/>
      <c r="CX81" s="494"/>
      <c r="CY81" s="494"/>
      <c r="CZ81" s="494"/>
      <c r="DA81" s="494"/>
      <c r="DB81" s="494"/>
      <c r="DC81" s="695"/>
      <c r="DD81" s="695"/>
      <c r="DE81" s="695"/>
      <c r="DF81" s="494"/>
      <c r="DG81" s="498"/>
      <c r="DH81" s="498"/>
      <c r="DI81" s="498"/>
      <c r="DJ81" s="498"/>
      <c r="DK81" s="498"/>
      <c r="DL81" s="498"/>
      <c r="DM81" s="381" t="s">
        <v>54</v>
      </c>
      <c r="DN81" s="488"/>
      <c r="DO81" s="381" t="s">
        <v>54</v>
      </c>
      <c r="DP81" s="385" t="s">
        <v>54</v>
      </c>
      <c r="DQ81" s="385" t="s">
        <v>54</v>
      </c>
      <c r="DR81" s="381" t="s">
        <v>54</v>
      </c>
      <c r="DS81" s="381" t="s">
        <v>54</v>
      </c>
      <c r="DT81" s="381" t="s">
        <v>54</v>
      </c>
      <c r="DU81" s="381" t="s">
        <v>54</v>
      </c>
      <c r="DV81" s="381" t="s">
        <v>54</v>
      </c>
      <c r="DW81" s="381" t="s">
        <v>54</v>
      </c>
      <c r="DX81" s="490"/>
      <c r="DY81" s="405" t="s">
        <v>54</v>
      </c>
      <c r="DZ81" s="490"/>
      <c r="EA81" s="405" t="s">
        <v>54</v>
      </c>
      <c r="EB81" s="405" t="s">
        <v>54</v>
      </c>
      <c r="EC81" s="405" t="s">
        <v>54</v>
      </c>
      <c r="ED81" s="381" t="s">
        <v>54</v>
      </c>
      <c r="EE81" s="381" t="s">
        <v>54</v>
      </c>
      <c r="EF81" s="381" t="s">
        <v>54</v>
      </c>
      <c r="EG81" s="381" t="s">
        <v>54</v>
      </c>
      <c r="EH81" s="381" t="s">
        <v>54</v>
      </c>
      <c r="EI81" s="381" t="s">
        <v>54</v>
      </c>
      <c r="EJ81" s="381" t="s">
        <v>54</v>
      </c>
      <c r="EK81" s="381" t="s">
        <v>54</v>
      </c>
      <c r="EL81" s="381" t="s">
        <v>54</v>
      </c>
      <c r="EM81" s="381" t="s">
        <v>54</v>
      </c>
      <c r="EN81" s="381" t="s">
        <v>54</v>
      </c>
      <c r="EO81" s="381" t="s">
        <v>54</v>
      </c>
      <c r="EP81" s="381" t="s">
        <v>54</v>
      </c>
      <c r="EQ81" s="381" t="s">
        <v>54</v>
      </c>
      <c r="ER81" s="381" t="s">
        <v>54</v>
      </c>
      <c r="ES81" s="381" t="s">
        <v>54</v>
      </c>
      <c r="ET81" s="381" t="s">
        <v>54</v>
      </c>
      <c r="EU81" s="381" t="s">
        <v>54</v>
      </c>
    </row>
    <row r="82" spans="1:151" s="1" customFormat="1" ht="19.899999999999999" customHeight="1">
      <c r="A82" s="491">
        <v>7</v>
      </c>
      <c r="B82" s="491">
        <v>7</v>
      </c>
      <c r="C82" s="486" t="s">
        <v>2797</v>
      </c>
      <c r="D82" s="491" t="s">
        <v>3084</v>
      </c>
      <c r="E82" s="495" t="s">
        <v>2924</v>
      </c>
      <c r="F82" s="491" t="s">
        <v>2969</v>
      </c>
      <c r="G82" s="512" t="s">
        <v>2970</v>
      </c>
      <c r="H82" s="491" t="s">
        <v>2971</v>
      </c>
      <c r="I82" s="491" t="s">
        <v>2972</v>
      </c>
      <c r="J82" s="491" t="s">
        <v>52</v>
      </c>
      <c r="K82" s="516" t="s">
        <v>3122</v>
      </c>
      <c r="L82" s="495" t="s">
        <v>3133</v>
      </c>
      <c r="M82" s="491" t="s">
        <v>2936</v>
      </c>
      <c r="N82" s="486" t="s">
        <v>3133</v>
      </c>
      <c r="O82" s="512" t="s">
        <v>2936</v>
      </c>
      <c r="P82" s="517" t="s">
        <v>2902</v>
      </c>
      <c r="Q82" s="491">
        <v>5</v>
      </c>
      <c r="R82" s="381" t="s">
        <v>2728</v>
      </c>
      <c r="S82" s="382" t="s">
        <v>52</v>
      </c>
      <c r="T82" s="382" t="s">
        <v>52</v>
      </c>
      <c r="U82" s="382" t="s">
        <v>52</v>
      </c>
      <c r="V82" s="382" t="s">
        <v>52</v>
      </c>
      <c r="W82" s="382" t="s">
        <v>52</v>
      </c>
      <c r="X82" s="489">
        <v>115</v>
      </c>
      <c r="Y82" s="382" t="s">
        <v>52</v>
      </c>
      <c r="Z82" s="520" t="s">
        <v>52</v>
      </c>
      <c r="AA82" s="382" t="s">
        <v>52</v>
      </c>
      <c r="AB82" s="491">
        <v>115</v>
      </c>
      <c r="AC82" s="382" t="s">
        <v>52</v>
      </c>
      <c r="AD82" s="491" t="s">
        <v>52</v>
      </c>
      <c r="AE82" s="382" t="s">
        <v>52</v>
      </c>
      <c r="AF82" s="382" t="s">
        <v>52</v>
      </c>
      <c r="AG82" s="382" t="s">
        <v>52</v>
      </c>
      <c r="AH82" s="382" t="s">
        <v>52</v>
      </c>
      <c r="AI82" s="382" t="s">
        <v>52</v>
      </c>
      <c r="AJ82" s="483" t="s">
        <v>54</v>
      </c>
      <c r="AK82" s="483" t="s">
        <v>54</v>
      </c>
      <c r="AL82" s="483" t="s">
        <v>54</v>
      </c>
      <c r="AM82" s="483" t="s">
        <v>54</v>
      </c>
      <c r="AN82" s="483" t="s">
        <v>54</v>
      </c>
      <c r="AO82" s="483" t="s">
        <v>54</v>
      </c>
      <c r="AP82" s="381" t="s">
        <v>54</v>
      </c>
      <c r="AQ82" s="486" t="s">
        <v>54</v>
      </c>
      <c r="AR82" s="381" t="s">
        <v>54</v>
      </c>
      <c r="AS82" s="385" t="s">
        <v>54</v>
      </c>
      <c r="AT82" s="385" t="s">
        <v>54</v>
      </c>
      <c r="AU82" s="381" t="s">
        <v>54</v>
      </c>
      <c r="AV82" s="381" t="s">
        <v>54</v>
      </c>
      <c r="AW82" s="381" t="s">
        <v>54</v>
      </c>
      <c r="AX82" s="381" t="s">
        <v>54</v>
      </c>
      <c r="AY82" s="386" t="s">
        <v>54</v>
      </c>
      <c r="AZ82" s="392" t="s">
        <v>54</v>
      </c>
      <c r="BA82" s="489" t="s">
        <v>54</v>
      </c>
      <c r="BB82" s="392" t="s">
        <v>54</v>
      </c>
      <c r="BC82" s="489" t="s">
        <v>54</v>
      </c>
      <c r="BD82" s="392" t="s">
        <v>54</v>
      </c>
      <c r="BE82" s="392" t="s">
        <v>54</v>
      </c>
      <c r="BF82" s="392" t="s">
        <v>54</v>
      </c>
      <c r="BG82" s="381" t="s">
        <v>54</v>
      </c>
      <c r="BH82" s="381" t="s">
        <v>54</v>
      </c>
      <c r="BI82" s="381" t="s">
        <v>54</v>
      </c>
      <c r="BJ82" s="381" t="s">
        <v>54</v>
      </c>
      <c r="BK82" s="381" t="s">
        <v>54</v>
      </c>
      <c r="BL82" s="381" t="s">
        <v>54</v>
      </c>
      <c r="BM82" s="381" t="s">
        <v>54</v>
      </c>
      <c r="BN82" s="381" t="s">
        <v>54</v>
      </c>
      <c r="BO82" s="381" t="s">
        <v>54</v>
      </c>
      <c r="BP82" s="381" t="s">
        <v>54</v>
      </c>
      <c r="BQ82" s="381" t="s">
        <v>54</v>
      </c>
      <c r="BR82" s="381" t="s">
        <v>54</v>
      </c>
      <c r="BS82" s="381" t="s">
        <v>54</v>
      </c>
      <c r="BT82" s="381" t="s">
        <v>54</v>
      </c>
      <c r="BU82" s="383" t="s">
        <v>54</v>
      </c>
      <c r="BV82" s="381" t="s">
        <v>54</v>
      </c>
      <c r="BW82" s="381" t="s">
        <v>54</v>
      </c>
      <c r="BX82" s="381" t="s">
        <v>54</v>
      </c>
      <c r="BY82" s="381" t="s">
        <v>54</v>
      </c>
      <c r="BZ82" s="381" t="s">
        <v>54</v>
      </c>
      <c r="CA82" s="381" t="s">
        <v>54</v>
      </c>
      <c r="CB82" s="381" t="s">
        <v>54</v>
      </c>
      <c r="CC82" s="381" t="s">
        <v>54</v>
      </c>
      <c r="CD82" s="381" t="s">
        <v>54</v>
      </c>
      <c r="CE82" s="383" t="s">
        <v>54</v>
      </c>
      <c r="CF82" s="381" t="s">
        <v>54</v>
      </c>
      <c r="CG82" s="381" t="s">
        <v>54</v>
      </c>
      <c r="CH82" s="381" t="s">
        <v>54</v>
      </c>
      <c r="CI82" s="383" t="s">
        <v>54</v>
      </c>
      <c r="CJ82" s="381" t="s">
        <v>54</v>
      </c>
      <c r="CK82" s="381" t="s">
        <v>54</v>
      </c>
      <c r="CL82" s="381" t="s">
        <v>54</v>
      </c>
      <c r="CM82" s="483" t="s">
        <v>54</v>
      </c>
      <c r="CN82" s="483" t="s">
        <v>54</v>
      </c>
      <c r="CO82" s="491" t="s">
        <v>54</v>
      </c>
      <c r="CP82" s="491" t="s">
        <v>54</v>
      </c>
      <c r="CQ82" s="491" t="s">
        <v>54</v>
      </c>
      <c r="CR82" s="491" t="s">
        <v>54</v>
      </c>
      <c r="CS82" s="491" t="s">
        <v>54</v>
      </c>
      <c r="CT82" s="542" t="s">
        <v>206</v>
      </c>
      <c r="CU82" s="491">
        <v>2014</v>
      </c>
      <c r="CV82" s="491" t="s">
        <v>2864</v>
      </c>
      <c r="CW82" s="491" t="s">
        <v>1975</v>
      </c>
      <c r="CX82" s="542" t="s">
        <v>54</v>
      </c>
      <c r="CY82" s="542" t="s">
        <v>54</v>
      </c>
      <c r="CZ82" s="542" t="s">
        <v>54</v>
      </c>
      <c r="DA82" s="542" t="s">
        <v>54</v>
      </c>
      <c r="DB82" s="542" t="s">
        <v>54</v>
      </c>
      <c r="DC82" s="692" t="s">
        <v>3085</v>
      </c>
      <c r="DD82" s="692" t="s">
        <v>3086</v>
      </c>
      <c r="DE82" s="692" t="s">
        <v>2975</v>
      </c>
      <c r="DF82" s="491" t="s">
        <v>52</v>
      </c>
      <c r="DG82" s="491" t="s">
        <v>54</v>
      </c>
      <c r="DH82" s="491" t="s">
        <v>54</v>
      </c>
      <c r="DI82" s="491" t="s">
        <v>54</v>
      </c>
      <c r="DJ82" s="491" t="s">
        <v>54</v>
      </c>
      <c r="DK82" s="491" t="s">
        <v>54</v>
      </c>
      <c r="DL82" s="491" t="s">
        <v>54</v>
      </c>
      <c r="DM82" s="381" t="s">
        <v>54</v>
      </c>
      <c r="DN82" s="491" t="s">
        <v>54</v>
      </c>
      <c r="DO82" s="381" t="s">
        <v>54</v>
      </c>
      <c r="DP82" s="385" t="s">
        <v>54</v>
      </c>
      <c r="DQ82" s="385" t="s">
        <v>54</v>
      </c>
      <c r="DR82" s="381" t="s">
        <v>54</v>
      </c>
      <c r="DS82" s="381" t="s">
        <v>54</v>
      </c>
      <c r="DT82" s="381" t="s">
        <v>54</v>
      </c>
      <c r="DU82" s="381" t="s">
        <v>54</v>
      </c>
      <c r="DV82" s="381" t="s">
        <v>54</v>
      </c>
      <c r="DW82" s="381" t="s">
        <v>54</v>
      </c>
      <c r="DX82" s="491" t="s">
        <v>54</v>
      </c>
      <c r="DY82" s="405" t="s">
        <v>54</v>
      </c>
      <c r="DZ82" s="491" t="s">
        <v>54</v>
      </c>
      <c r="EA82" s="405" t="s">
        <v>54</v>
      </c>
      <c r="EB82" s="405" t="s">
        <v>54</v>
      </c>
      <c r="EC82" s="405" t="s">
        <v>54</v>
      </c>
      <c r="ED82" s="381" t="s">
        <v>54</v>
      </c>
      <c r="EE82" s="381" t="s">
        <v>54</v>
      </c>
      <c r="EF82" s="381" t="s">
        <v>54</v>
      </c>
      <c r="EG82" s="381" t="s">
        <v>54</v>
      </c>
      <c r="EH82" s="381" t="s">
        <v>54</v>
      </c>
      <c r="EI82" s="381" t="s">
        <v>54</v>
      </c>
      <c r="EJ82" s="381" t="s">
        <v>54</v>
      </c>
      <c r="EK82" s="381" t="s">
        <v>54</v>
      </c>
      <c r="EL82" s="381" t="s">
        <v>54</v>
      </c>
      <c r="EM82" s="381" t="s">
        <v>54</v>
      </c>
      <c r="EN82" s="381" t="s">
        <v>54</v>
      </c>
      <c r="EO82" s="381" t="s">
        <v>54</v>
      </c>
      <c r="EP82" s="381" t="s">
        <v>54</v>
      </c>
      <c r="EQ82" s="381" t="s">
        <v>54</v>
      </c>
      <c r="ER82" s="381" t="s">
        <v>54</v>
      </c>
      <c r="ES82" s="381" t="s">
        <v>54</v>
      </c>
      <c r="ET82" s="381" t="s">
        <v>54</v>
      </c>
      <c r="EU82" s="381" t="s">
        <v>54</v>
      </c>
    </row>
    <row r="83" spans="1:151" s="1" customFormat="1" ht="19.899999999999999" customHeight="1">
      <c r="A83" s="492"/>
      <c r="B83" s="492"/>
      <c r="C83" s="487"/>
      <c r="D83" s="509"/>
      <c r="E83" s="506"/>
      <c r="F83" s="509"/>
      <c r="G83" s="513"/>
      <c r="H83" s="509"/>
      <c r="I83" s="509"/>
      <c r="J83" s="509"/>
      <c r="K83" s="492"/>
      <c r="L83" s="496"/>
      <c r="M83" s="492"/>
      <c r="N83" s="487"/>
      <c r="O83" s="513"/>
      <c r="P83" s="518"/>
      <c r="Q83" s="492"/>
      <c r="R83" s="381" t="s">
        <v>2968</v>
      </c>
      <c r="S83" s="382" t="s">
        <v>52</v>
      </c>
      <c r="T83" s="382" t="s">
        <v>52</v>
      </c>
      <c r="U83" s="382" t="s">
        <v>52</v>
      </c>
      <c r="V83" s="382" t="s">
        <v>52</v>
      </c>
      <c r="W83" s="382" t="s">
        <v>52</v>
      </c>
      <c r="X83" s="490"/>
      <c r="Y83" s="382" t="s">
        <v>52</v>
      </c>
      <c r="Z83" s="521"/>
      <c r="AA83" s="382" t="s">
        <v>52</v>
      </c>
      <c r="AB83" s="492"/>
      <c r="AC83" s="382" t="s">
        <v>52</v>
      </c>
      <c r="AD83" s="492"/>
      <c r="AE83" s="382" t="s">
        <v>52</v>
      </c>
      <c r="AF83" s="382" t="s">
        <v>52</v>
      </c>
      <c r="AG83" s="382" t="s">
        <v>52</v>
      </c>
      <c r="AH83" s="382" t="s">
        <v>52</v>
      </c>
      <c r="AI83" s="382" t="s">
        <v>52</v>
      </c>
      <c r="AJ83" s="484"/>
      <c r="AK83" s="484"/>
      <c r="AL83" s="484"/>
      <c r="AM83" s="484"/>
      <c r="AN83" s="484"/>
      <c r="AO83" s="484"/>
      <c r="AP83" s="381" t="s">
        <v>54</v>
      </c>
      <c r="AQ83" s="487"/>
      <c r="AR83" s="381" t="s">
        <v>54</v>
      </c>
      <c r="AS83" s="385" t="s">
        <v>54</v>
      </c>
      <c r="AT83" s="385" t="s">
        <v>54</v>
      </c>
      <c r="AU83" s="381" t="s">
        <v>54</v>
      </c>
      <c r="AV83" s="381" t="s">
        <v>54</v>
      </c>
      <c r="AW83" s="381" t="s">
        <v>54</v>
      </c>
      <c r="AX83" s="381" t="s">
        <v>54</v>
      </c>
      <c r="AY83" s="386" t="s">
        <v>54</v>
      </c>
      <c r="AZ83" s="392" t="s">
        <v>54</v>
      </c>
      <c r="BA83" s="490"/>
      <c r="BB83" s="392" t="s">
        <v>54</v>
      </c>
      <c r="BC83" s="490"/>
      <c r="BD83" s="392" t="s">
        <v>54</v>
      </c>
      <c r="BE83" s="392" t="s">
        <v>54</v>
      </c>
      <c r="BF83" s="392" t="s">
        <v>54</v>
      </c>
      <c r="BG83" s="381" t="s">
        <v>54</v>
      </c>
      <c r="BH83" s="381" t="s">
        <v>54</v>
      </c>
      <c r="BI83" s="381" t="s">
        <v>54</v>
      </c>
      <c r="BJ83" s="381" t="s">
        <v>54</v>
      </c>
      <c r="BK83" s="381" t="s">
        <v>54</v>
      </c>
      <c r="BL83" s="381" t="s">
        <v>54</v>
      </c>
      <c r="BM83" s="381" t="s">
        <v>54</v>
      </c>
      <c r="BN83" s="381" t="s">
        <v>54</v>
      </c>
      <c r="BO83" s="381" t="s">
        <v>54</v>
      </c>
      <c r="BP83" s="381" t="s">
        <v>54</v>
      </c>
      <c r="BQ83" s="381" t="s">
        <v>54</v>
      </c>
      <c r="BR83" s="381" t="s">
        <v>54</v>
      </c>
      <c r="BS83" s="381" t="s">
        <v>54</v>
      </c>
      <c r="BT83" s="381" t="s">
        <v>54</v>
      </c>
      <c r="BU83" s="383" t="s">
        <v>54</v>
      </c>
      <c r="BV83" s="381" t="s">
        <v>54</v>
      </c>
      <c r="BW83" s="381" t="s">
        <v>54</v>
      </c>
      <c r="BX83" s="381" t="s">
        <v>54</v>
      </c>
      <c r="BY83" s="381" t="s">
        <v>54</v>
      </c>
      <c r="BZ83" s="381" t="s">
        <v>54</v>
      </c>
      <c r="CA83" s="381" t="s">
        <v>54</v>
      </c>
      <c r="CB83" s="381" t="s">
        <v>54</v>
      </c>
      <c r="CC83" s="381" t="s">
        <v>54</v>
      </c>
      <c r="CD83" s="381" t="s">
        <v>54</v>
      </c>
      <c r="CE83" s="383" t="s">
        <v>54</v>
      </c>
      <c r="CF83" s="381" t="s">
        <v>54</v>
      </c>
      <c r="CG83" s="381" t="s">
        <v>54</v>
      </c>
      <c r="CH83" s="381" t="s">
        <v>54</v>
      </c>
      <c r="CI83" s="383" t="s">
        <v>54</v>
      </c>
      <c r="CJ83" s="381" t="s">
        <v>54</v>
      </c>
      <c r="CK83" s="381" t="s">
        <v>54</v>
      </c>
      <c r="CL83" s="381" t="s">
        <v>54</v>
      </c>
      <c r="CM83" s="499"/>
      <c r="CN83" s="499"/>
      <c r="CO83" s="492"/>
      <c r="CP83" s="492"/>
      <c r="CQ83" s="492"/>
      <c r="CR83" s="492"/>
      <c r="CS83" s="492"/>
      <c r="CT83" s="492"/>
      <c r="CU83" s="492"/>
      <c r="CV83" s="492"/>
      <c r="CW83" s="492"/>
      <c r="CX83" s="492"/>
      <c r="CY83" s="492"/>
      <c r="CZ83" s="492"/>
      <c r="DA83" s="492"/>
      <c r="DB83" s="492"/>
      <c r="DC83" s="693"/>
      <c r="DD83" s="693"/>
      <c r="DE83" s="693"/>
      <c r="DF83" s="492"/>
      <c r="DG83" s="492"/>
      <c r="DH83" s="492"/>
      <c r="DI83" s="492"/>
      <c r="DJ83" s="492"/>
      <c r="DK83" s="492"/>
      <c r="DL83" s="492"/>
      <c r="DM83" s="381" t="s">
        <v>54</v>
      </c>
      <c r="DN83" s="492"/>
      <c r="DO83" s="381" t="s">
        <v>54</v>
      </c>
      <c r="DP83" s="385" t="s">
        <v>54</v>
      </c>
      <c r="DQ83" s="385" t="s">
        <v>54</v>
      </c>
      <c r="DR83" s="381" t="s">
        <v>54</v>
      </c>
      <c r="DS83" s="381" t="s">
        <v>54</v>
      </c>
      <c r="DT83" s="381" t="s">
        <v>54</v>
      </c>
      <c r="DU83" s="381" t="s">
        <v>54</v>
      </c>
      <c r="DV83" s="381" t="s">
        <v>54</v>
      </c>
      <c r="DW83" s="381" t="s">
        <v>54</v>
      </c>
      <c r="DX83" s="492"/>
      <c r="DY83" s="405" t="s">
        <v>54</v>
      </c>
      <c r="DZ83" s="492"/>
      <c r="EA83" s="405" t="s">
        <v>54</v>
      </c>
      <c r="EB83" s="405" t="s">
        <v>54</v>
      </c>
      <c r="EC83" s="405" t="s">
        <v>54</v>
      </c>
      <c r="ED83" s="381" t="s">
        <v>54</v>
      </c>
      <c r="EE83" s="381" t="s">
        <v>54</v>
      </c>
      <c r="EF83" s="381" t="s">
        <v>54</v>
      </c>
      <c r="EG83" s="381" t="s">
        <v>54</v>
      </c>
      <c r="EH83" s="381" t="s">
        <v>54</v>
      </c>
      <c r="EI83" s="381" t="s">
        <v>54</v>
      </c>
      <c r="EJ83" s="381" t="s">
        <v>54</v>
      </c>
      <c r="EK83" s="381" t="s">
        <v>54</v>
      </c>
      <c r="EL83" s="381" t="s">
        <v>54</v>
      </c>
      <c r="EM83" s="381" t="s">
        <v>54</v>
      </c>
      <c r="EN83" s="381" t="s">
        <v>54</v>
      </c>
      <c r="EO83" s="381" t="s">
        <v>54</v>
      </c>
      <c r="EP83" s="381" t="s">
        <v>54</v>
      </c>
      <c r="EQ83" s="381" t="s">
        <v>54</v>
      </c>
      <c r="ER83" s="381" t="s">
        <v>54</v>
      </c>
      <c r="ES83" s="381" t="s">
        <v>54</v>
      </c>
      <c r="ET83" s="381" t="s">
        <v>54</v>
      </c>
      <c r="EU83" s="381" t="s">
        <v>54</v>
      </c>
    </row>
    <row r="84" spans="1:151" s="1" customFormat="1" ht="19.899999999999999" customHeight="1">
      <c r="A84" s="493"/>
      <c r="B84" s="493"/>
      <c r="C84" s="487"/>
      <c r="D84" s="510"/>
      <c r="E84" s="507"/>
      <c r="F84" s="510"/>
      <c r="G84" s="514"/>
      <c r="H84" s="510"/>
      <c r="I84" s="510"/>
      <c r="J84" s="510"/>
      <c r="K84" s="493"/>
      <c r="L84" s="497"/>
      <c r="M84" s="493"/>
      <c r="N84" s="487"/>
      <c r="O84" s="514"/>
      <c r="P84" s="518"/>
      <c r="Q84" s="493"/>
      <c r="R84" s="381" t="s">
        <v>2973</v>
      </c>
      <c r="S84" s="382" t="s">
        <v>52</v>
      </c>
      <c r="T84" s="382" t="s">
        <v>52</v>
      </c>
      <c r="U84" s="382" t="s">
        <v>52</v>
      </c>
      <c r="V84" s="382" t="s">
        <v>52</v>
      </c>
      <c r="W84" s="382" t="s">
        <v>52</v>
      </c>
      <c r="X84" s="490"/>
      <c r="Y84" s="382" t="s">
        <v>52</v>
      </c>
      <c r="Z84" s="521"/>
      <c r="AA84" s="382" t="s">
        <v>52</v>
      </c>
      <c r="AB84" s="493"/>
      <c r="AC84" s="382" t="s">
        <v>52</v>
      </c>
      <c r="AD84" s="493"/>
      <c r="AE84" s="382" t="s">
        <v>52</v>
      </c>
      <c r="AF84" s="382" t="s">
        <v>52</v>
      </c>
      <c r="AG84" s="382" t="s">
        <v>52</v>
      </c>
      <c r="AH84" s="382" t="s">
        <v>52</v>
      </c>
      <c r="AI84" s="382" t="s">
        <v>52</v>
      </c>
      <c r="AJ84" s="484"/>
      <c r="AK84" s="484"/>
      <c r="AL84" s="484"/>
      <c r="AM84" s="484"/>
      <c r="AN84" s="484"/>
      <c r="AO84" s="484"/>
      <c r="AP84" s="381" t="s">
        <v>54</v>
      </c>
      <c r="AQ84" s="487"/>
      <c r="AR84" s="381" t="s">
        <v>54</v>
      </c>
      <c r="AS84" s="385" t="s">
        <v>54</v>
      </c>
      <c r="AT84" s="385" t="s">
        <v>54</v>
      </c>
      <c r="AU84" s="381" t="s">
        <v>54</v>
      </c>
      <c r="AV84" s="381" t="s">
        <v>54</v>
      </c>
      <c r="AW84" s="381" t="s">
        <v>54</v>
      </c>
      <c r="AX84" s="381" t="s">
        <v>54</v>
      </c>
      <c r="AY84" s="386" t="s">
        <v>54</v>
      </c>
      <c r="AZ84" s="392" t="s">
        <v>54</v>
      </c>
      <c r="BA84" s="490"/>
      <c r="BB84" s="392" t="s">
        <v>54</v>
      </c>
      <c r="BC84" s="490"/>
      <c r="BD84" s="392" t="s">
        <v>54</v>
      </c>
      <c r="BE84" s="397" t="s">
        <v>54</v>
      </c>
      <c r="BF84" s="397" t="s">
        <v>54</v>
      </c>
      <c r="BG84" s="397" t="s">
        <v>54</v>
      </c>
      <c r="BH84" s="397" t="s">
        <v>54</v>
      </c>
      <c r="BI84" s="397" t="s">
        <v>54</v>
      </c>
      <c r="BJ84" s="397" t="s">
        <v>54</v>
      </c>
      <c r="BK84" s="381" t="s">
        <v>54</v>
      </c>
      <c r="BL84" s="381" t="s">
        <v>54</v>
      </c>
      <c r="BM84" s="381" t="s">
        <v>54</v>
      </c>
      <c r="BN84" s="381" t="s">
        <v>54</v>
      </c>
      <c r="BO84" s="381" t="s">
        <v>54</v>
      </c>
      <c r="BP84" s="381" t="s">
        <v>54</v>
      </c>
      <c r="BQ84" s="381" t="s">
        <v>54</v>
      </c>
      <c r="BR84" s="381" t="s">
        <v>54</v>
      </c>
      <c r="BS84" s="381" t="s">
        <v>54</v>
      </c>
      <c r="BT84" s="397" t="s">
        <v>54</v>
      </c>
      <c r="BU84" s="381" t="s">
        <v>54</v>
      </c>
      <c r="BV84" s="381" t="s">
        <v>54</v>
      </c>
      <c r="BW84" s="381" t="s">
        <v>54</v>
      </c>
      <c r="BX84" s="381" t="s">
        <v>54</v>
      </c>
      <c r="BY84" s="381" t="s">
        <v>54</v>
      </c>
      <c r="BZ84" s="381" t="s">
        <v>54</v>
      </c>
      <c r="CA84" s="381" t="s">
        <v>54</v>
      </c>
      <c r="CB84" s="381" t="s">
        <v>54</v>
      </c>
      <c r="CC84" s="381" t="s">
        <v>54</v>
      </c>
      <c r="CD84" s="381" t="s">
        <v>54</v>
      </c>
      <c r="CE84" s="381" t="s">
        <v>54</v>
      </c>
      <c r="CF84" s="381" t="s">
        <v>54</v>
      </c>
      <c r="CG84" s="381" t="s">
        <v>54</v>
      </c>
      <c r="CH84" s="381" t="s">
        <v>54</v>
      </c>
      <c r="CI84" s="383" t="s">
        <v>54</v>
      </c>
      <c r="CJ84" s="381" t="s">
        <v>54</v>
      </c>
      <c r="CK84" s="381" t="s">
        <v>54</v>
      </c>
      <c r="CL84" s="381" t="s">
        <v>54</v>
      </c>
      <c r="CM84" s="499"/>
      <c r="CN84" s="499"/>
      <c r="CO84" s="493"/>
      <c r="CP84" s="493"/>
      <c r="CQ84" s="493"/>
      <c r="CR84" s="493"/>
      <c r="CS84" s="493"/>
      <c r="CT84" s="493"/>
      <c r="CU84" s="493"/>
      <c r="CV84" s="493"/>
      <c r="CW84" s="493"/>
      <c r="CX84" s="493"/>
      <c r="CY84" s="493"/>
      <c r="CZ84" s="493"/>
      <c r="DA84" s="493"/>
      <c r="DB84" s="493"/>
      <c r="DC84" s="694"/>
      <c r="DD84" s="694"/>
      <c r="DE84" s="694"/>
      <c r="DF84" s="493"/>
      <c r="DG84" s="493"/>
      <c r="DH84" s="493"/>
      <c r="DI84" s="493"/>
      <c r="DJ84" s="493"/>
      <c r="DK84" s="493"/>
      <c r="DL84" s="493"/>
      <c r="DM84" s="381" t="s">
        <v>54</v>
      </c>
      <c r="DN84" s="493"/>
      <c r="DO84" s="381" t="s">
        <v>54</v>
      </c>
      <c r="DP84" s="385" t="s">
        <v>54</v>
      </c>
      <c r="DQ84" s="385" t="s">
        <v>54</v>
      </c>
      <c r="DR84" s="381" t="s">
        <v>54</v>
      </c>
      <c r="DS84" s="381" t="s">
        <v>54</v>
      </c>
      <c r="DT84" s="381" t="s">
        <v>54</v>
      </c>
      <c r="DU84" s="381" t="s">
        <v>54</v>
      </c>
      <c r="DV84" s="381" t="s">
        <v>54</v>
      </c>
      <c r="DW84" s="381" t="s">
        <v>54</v>
      </c>
      <c r="DX84" s="493"/>
      <c r="DY84" s="405" t="s">
        <v>54</v>
      </c>
      <c r="DZ84" s="493"/>
      <c r="EA84" s="405" t="s">
        <v>54</v>
      </c>
      <c r="EB84" s="405" t="s">
        <v>54</v>
      </c>
      <c r="EC84" s="405" t="s">
        <v>54</v>
      </c>
      <c r="ED84" s="381" t="s">
        <v>54</v>
      </c>
      <c r="EE84" s="381" t="s">
        <v>54</v>
      </c>
      <c r="EF84" s="381" t="s">
        <v>54</v>
      </c>
      <c r="EG84" s="381" t="s">
        <v>54</v>
      </c>
      <c r="EH84" s="381" t="s">
        <v>54</v>
      </c>
      <c r="EI84" s="381" t="s">
        <v>54</v>
      </c>
      <c r="EJ84" s="381" t="s">
        <v>54</v>
      </c>
      <c r="EK84" s="381" t="s">
        <v>54</v>
      </c>
      <c r="EL84" s="381" t="s">
        <v>54</v>
      </c>
      <c r="EM84" s="381" t="s">
        <v>54</v>
      </c>
      <c r="EN84" s="381" t="s">
        <v>54</v>
      </c>
      <c r="EO84" s="381" t="s">
        <v>54</v>
      </c>
      <c r="EP84" s="381" t="s">
        <v>54</v>
      </c>
      <c r="EQ84" s="381" t="s">
        <v>54</v>
      </c>
      <c r="ER84" s="381" t="s">
        <v>54</v>
      </c>
      <c r="ES84" s="381" t="s">
        <v>54</v>
      </c>
      <c r="ET84" s="381" t="s">
        <v>54</v>
      </c>
      <c r="EU84" s="381" t="s">
        <v>54</v>
      </c>
    </row>
    <row r="85" spans="1:151" s="1" customFormat="1" ht="19.899999999999999" customHeight="1">
      <c r="A85" s="493"/>
      <c r="B85" s="493"/>
      <c r="C85" s="487"/>
      <c r="D85" s="510"/>
      <c r="E85" s="507"/>
      <c r="F85" s="510"/>
      <c r="G85" s="514"/>
      <c r="H85" s="510"/>
      <c r="I85" s="510"/>
      <c r="J85" s="510"/>
      <c r="K85" s="493"/>
      <c r="L85" s="497"/>
      <c r="M85" s="493"/>
      <c r="N85" s="487"/>
      <c r="O85" s="514"/>
      <c r="P85" s="518"/>
      <c r="Q85" s="493"/>
      <c r="R85" s="381" t="s">
        <v>2861</v>
      </c>
      <c r="S85" s="382" t="s">
        <v>52</v>
      </c>
      <c r="T85" s="382" t="s">
        <v>52</v>
      </c>
      <c r="U85" s="382" t="s">
        <v>52</v>
      </c>
      <c r="V85" s="382" t="s">
        <v>52</v>
      </c>
      <c r="W85" s="382" t="s">
        <v>52</v>
      </c>
      <c r="X85" s="490"/>
      <c r="Y85" s="382" t="s">
        <v>52</v>
      </c>
      <c r="Z85" s="521"/>
      <c r="AA85" s="382" t="s">
        <v>52</v>
      </c>
      <c r="AB85" s="493"/>
      <c r="AC85" s="382" t="s">
        <v>52</v>
      </c>
      <c r="AD85" s="493"/>
      <c r="AE85" s="382" t="s">
        <v>52</v>
      </c>
      <c r="AF85" s="382" t="s">
        <v>52</v>
      </c>
      <c r="AG85" s="382" t="s">
        <v>52</v>
      </c>
      <c r="AH85" s="382" t="s">
        <v>52</v>
      </c>
      <c r="AI85" s="382" t="s">
        <v>52</v>
      </c>
      <c r="AJ85" s="484"/>
      <c r="AK85" s="484"/>
      <c r="AL85" s="484"/>
      <c r="AM85" s="484"/>
      <c r="AN85" s="484"/>
      <c r="AO85" s="484"/>
      <c r="AP85" s="381" t="s">
        <v>54</v>
      </c>
      <c r="AQ85" s="487"/>
      <c r="AR85" s="381" t="s">
        <v>54</v>
      </c>
      <c r="AS85" s="381" t="s">
        <v>54</v>
      </c>
      <c r="AT85" s="381" t="s">
        <v>54</v>
      </c>
      <c r="AU85" s="381" t="s">
        <v>54</v>
      </c>
      <c r="AV85" s="381" t="s">
        <v>54</v>
      </c>
      <c r="AW85" s="381" t="s">
        <v>54</v>
      </c>
      <c r="AX85" s="381" t="s">
        <v>54</v>
      </c>
      <c r="AY85" s="381" t="s">
        <v>54</v>
      </c>
      <c r="AZ85" s="381" t="s">
        <v>54</v>
      </c>
      <c r="BA85" s="490"/>
      <c r="BB85" s="397" t="s">
        <v>54</v>
      </c>
      <c r="BC85" s="490"/>
      <c r="BD85" s="397" t="s">
        <v>54</v>
      </c>
      <c r="BE85" s="397" t="s">
        <v>54</v>
      </c>
      <c r="BF85" s="397" t="s">
        <v>54</v>
      </c>
      <c r="BG85" s="397" t="s">
        <v>54</v>
      </c>
      <c r="BH85" s="397" t="s">
        <v>54</v>
      </c>
      <c r="BI85" s="397" t="s">
        <v>54</v>
      </c>
      <c r="BJ85" s="397" t="s">
        <v>54</v>
      </c>
      <c r="BK85" s="381" t="s">
        <v>54</v>
      </c>
      <c r="BL85" s="381" t="s">
        <v>54</v>
      </c>
      <c r="BM85" s="381" t="s">
        <v>54</v>
      </c>
      <c r="BN85" s="381" t="s">
        <v>54</v>
      </c>
      <c r="BO85" s="381" t="s">
        <v>54</v>
      </c>
      <c r="BP85" s="381" t="s">
        <v>54</v>
      </c>
      <c r="BQ85" s="381" t="s">
        <v>54</v>
      </c>
      <c r="BR85" s="381" t="s">
        <v>54</v>
      </c>
      <c r="BS85" s="381" t="s">
        <v>54</v>
      </c>
      <c r="BT85" s="397" t="s">
        <v>54</v>
      </c>
      <c r="BU85" s="381" t="s">
        <v>54</v>
      </c>
      <c r="BV85" s="381" t="s">
        <v>54</v>
      </c>
      <c r="BW85" s="381" t="s">
        <v>54</v>
      </c>
      <c r="BX85" s="381" t="s">
        <v>54</v>
      </c>
      <c r="BY85" s="381" t="s">
        <v>54</v>
      </c>
      <c r="BZ85" s="381" t="s">
        <v>54</v>
      </c>
      <c r="CA85" s="381" t="s">
        <v>54</v>
      </c>
      <c r="CB85" s="381" t="s">
        <v>54</v>
      </c>
      <c r="CC85" s="381" t="s">
        <v>54</v>
      </c>
      <c r="CD85" s="381" t="s">
        <v>54</v>
      </c>
      <c r="CE85" s="381" t="s">
        <v>54</v>
      </c>
      <c r="CF85" s="381" t="s">
        <v>54</v>
      </c>
      <c r="CG85" s="381" t="s">
        <v>54</v>
      </c>
      <c r="CH85" s="381" t="s">
        <v>54</v>
      </c>
      <c r="CI85" s="383" t="s">
        <v>54</v>
      </c>
      <c r="CJ85" s="381" t="s">
        <v>54</v>
      </c>
      <c r="CK85" s="381" t="s">
        <v>54</v>
      </c>
      <c r="CL85" s="381" t="s">
        <v>54</v>
      </c>
      <c r="CM85" s="499"/>
      <c r="CN85" s="499"/>
      <c r="CO85" s="493"/>
      <c r="CP85" s="493"/>
      <c r="CQ85" s="493"/>
      <c r="CR85" s="493"/>
      <c r="CS85" s="493"/>
      <c r="CT85" s="493"/>
      <c r="CU85" s="493"/>
      <c r="CV85" s="493"/>
      <c r="CW85" s="493"/>
      <c r="CX85" s="493"/>
      <c r="CY85" s="493"/>
      <c r="CZ85" s="493"/>
      <c r="DA85" s="493"/>
      <c r="DB85" s="493"/>
      <c r="DC85" s="694"/>
      <c r="DD85" s="694"/>
      <c r="DE85" s="694"/>
      <c r="DF85" s="493"/>
      <c r="DG85" s="493"/>
      <c r="DH85" s="493"/>
      <c r="DI85" s="493"/>
      <c r="DJ85" s="493"/>
      <c r="DK85" s="493"/>
      <c r="DL85" s="493"/>
      <c r="DM85" s="381" t="s">
        <v>54</v>
      </c>
      <c r="DN85" s="493"/>
      <c r="DO85" s="381" t="s">
        <v>54</v>
      </c>
      <c r="DP85" s="385" t="s">
        <v>54</v>
      </c>
      <c r="DQ85" s="385" t="s">
        <v>54</v>
      </c>
      <c r="DR85" s="381" t="s">
        <v>54</v>
      </c>
      <c r="DS85" s="381" t="s">
        <v>54</v>
      </c>
      <c r="DT85" s="381" t="s">
        <v>54</v>
      </c>
      <c r="DU85" s="381" t="s">
        <v>54</v>
      </c>
      <c r="DV85" s="381" t="s">
        <v>54</v>
      </c>
      <c r="DW85" s="381" t="s">
        <v>54</v>
      </c>
      <c r="DX85" s="493"/>
      <c r="DY85" s="405" t="s">
        <v>54</v>
      </c>
      <c r="DZ85" s="493"/>
      <c r="EA85" s="405" t="s">
        <v>54</v>
      </c>
      <c r="EB85" s="405" t="s">
        <v>54</v>
      </c>
      <c r="EC85" s="405" t="s">
        <v>54</v>
      </c>
      <c r="ED85" s="381" t="s">
        <v>54</v>
      </c>
      <c r="EE85" s="381" t="s">
        <v>54</v>
      </c>
      <c r="EF85" s="381" t="s">
        <v>54</v>
      </c>
      <c r="EG85" s="381" t="s">
        <v>54</v>
      </c>
      <c r="EH85" s="381" t="s">
        <v>54</v>
      </c>
      <c r="EI85" s="381" t="s">
        <v>54</v>
      </c>
      <c r="EJ85" s="381" t="s">
        <v>54</v>
      </c>
      <c r="EK85" s="381" t="s">
        <v>54</v>
      </c>
      <c r="EL85" s="381" t="s">
        <v>54</v>
      </c>
      <c r="EM85" s="381" t="s">
        <v>54</v>
      </c>
      <c r="EN85" s="381" t="s">
        <v>54</v>
      </c>
      <c r="EO85" s="381" t="s">
        <v>54</v>
      </c>
      <c r="EP85" s="381" t="s">
        <v>54</v>
      </c>
      <c r="EQ85" s="381" t="s">
        <v>54</v>
      </c>
      <c r="ER85" s="381" t="s">
        <v>54</v>
      </c>
      <c r="ES85" s="381" t="s">
        <v>54</v>
      </c>
      <c r="ET85" s="381" t="s">
        <v>54</v>
      </c>
      <c r="EU85" s="381" t="s">
        <v>54</v>
      </c>
    </row>
    <row r="86" spans="1:151" s="1" customFormat="1" ht="19.899999999999999" customHeight="1">
      <c r="A86" s="494"/>
      <c r="B86" s="494"/>
      <c r="C86" s="488"/>
      <c r="D86" s="511"/>
      <c r="E86" s="508"/>
      <c r="F86" s="511"/>
      <c r="G86" s="515"/>
      <c r="H86" s="511"/>
      <c r="I86" s="511"/>
      <c r="J86" s="511"/>
      <c r="K86" s="494"/>
      <c r="L86" s="498"/>
      <c r="M86" s="494"/>
      <c r="N86" s="488"/>
      <c r="O86" s="515"/>
      <c r="P86" s="519"/>
      <c r="Q86" s="494"/>
      <c r="R86" s="381" t="s">
        <v>2974</v>
      </c>
      <c r="S86" s="382" t="s">
        <v>52</v>
      </c>
      <c r="T86" s="382" t="s">
        <v>52</v>
      </c>
      <c r="U86" s="382" t="s">
        <v>52</v>
      </c>
      <c r="V86" s="382" t="s">
        <v>52</v>
      </c>
      <c r="W86" s="382" t="s">
        <v>52</v>
      </c>
      <c r="X86" s="490"/>
      <c r="Y86" s="382" t="s">
        <v>52</v>
      </c>
      <c r="Z86" s="521"/>
      <c r="AA86" s="382" t="s">
        <v>52</v>
      </c>
      <c r="AB86" s="494"/>
      <c r="AC86" s="382" t="s">
        <v>52</v>
      </c>
      <c r="AD86" s="494"/>
      <c r="AE86" s="382" t="s">
        <v>52</v>
      </c>
      <c r="AF86" s="382" t="s">
        <v>52</v>
      </c>
      <c r="AG86" s="382" t="s">
        <v>52</v>
      </c>
      <c r="AH86" s="382" t="s">
        <v>52</v>
      </c>
      <c r="AI86" s="382" t="s">
        <v>52</v>
      </c>
      <c r="AJ86" s="485"/>
      <c r="AK86" s="485"/>
      <c r="AL86" s="485"/>
      <c r="AM86" s="485"/>
      <c r="AN86" s="485"/>
      <c r="AO86" s="485"/>
      <c r="AP86" s="381" t="s">
        <v>54</v>
      </c>
      <c r="AQ86" s="488"/>
      <c r="AR86" s="381" t="s">
        <v>54</v>
      </c>
      <c r="AS86" s="385" t="s">
        <v>54</v>
      </c>
      <c r="AT86" s="385" t="s">
        <v>54</v>
      </c>
      <c r="AU86" s="381" t="s">
        <v>54</v>
      </c>
      <c r="AV86" s="381" t="s">
        <v>54</v>
      </c>
      <c r="AW86" s="381" t="s">
        <v>54</v>
      </c>
      <c r="AX86" s="381" t="s">
        <v>54</v>
      </c>
      <c r="AY86" s="386" t="s">
        <v>54</v>
      </c>
      <c r="AZ86" s="392" t="s">
        <v>54</v>
      </c>
      <c r="BA86" s="490"/>
      <c r="BB86" s="392" t="s">
        <v>54</v>
      </c>
      <c r="BC86" s="490"/>
      <c r="BD86" s="392" t="s">
        <v>54</v>
      </c>
      <c r="BE86" s="392" t="s">
        <v>54</v>
      </c>
      <c r="BF86" s="392" t="s">
        <v>54</v>
      </c>
      <c r="BG86" s="381" t="s">
        <v>54</v>
      </c>
      <c r="BH86" s="381" t="s">
        <v>54</v>
      </c>
      <c r="BI86" s="381" t="s">
        <v>54</v>
      </c>
      <c r="BJ86" s="381" t="s">
        <v>54</v>
      </c>
      <c r="BK86" s="381" t="s">
        <v>54</v>
      </c>
      <c r="BL86" s="381" t="s">
        <v>54</v>
      </c>
      <c r="BM86" s="381" t="s">
        <v>54</v>
      </c>
      <c r="BN86" s="381" t="s">
        <v>54</v>
      </c>
      <c r="BO86" s="381" t="s">
        <v>54</v>
      </c>
      <c r="BP86" s="381" t="s">
        <v>54</v>
      </c>
      <c r="BQ86" s="381" t="s">
        <v>54</v>
      </c>
      <c r="BR86" s="381" t="s">
        <v>54</v>
      </c>
      <c r="BS86" s="381" t="s">
        <v>54</v>
      </c>
      <c r="BT86" s="381" t="s">
        <v>54</v>
      </c>
      <c r="BU86" s="383" t="s">
        <v>54</v>
      </c>
      <c r="BV86" s="381" t="s">
        <v>54</v>
      </c>
      <c r="BW86" s="381" t="s">
        <v>54</v>
      </c>
      <c r="BX86" s="381" t="s">
        <v>54</v>
      </c>
      <c r="BY86" s="381" t="s">
        <v>54</v>
      </c>
      <c r="BZ86" s="381" t="s">
        <v>54</v>
      </c>
      <c r="CA86" s="381" t="s">
        <v>54</v>
      </c>
      <c r="CB86" s="381" t="s">
        <v>54</v>
      </c>
      <c r="CC86" s="381" t="s">
        <v>54</v>
      </c>
      <c r="CD86" s="381" t="s">
        <v>54</v>
      </c>
      <c r="CE86" s="383" t="s">
        <v>54</v>
      </c>
      <c r="CF86" s="381" t="s">
        <v>54</v>
      </c>
      <c r="CG86" s="381" t="s">
        <v>54</v>
      </c>
      <c r="CH86" s="381" t="s">
        <v>54</v>
      </c>
      <c r="CI86" s="383" t="s">
        <v>54</v>
      </c>
      <c r="CJ86" s="381" t="s">
        <v>54</v>
      </c>
      <c r="CK86" s="381" t="s">
        <v>54</v>
      </c>
      <c r="CL86" s="381" t="s">
        <v>54</v>
      </c>
      <c r="CM86" s="500"/>
      <c r="CN86" s="500"/>
      <c r="CO86" s="494"/>
      <c r="CP86" s="494"/>
      <c r="CQ86" s="494"/>
      <c r="CR86" s="494"/>
      <c r="CS86" s="494"/>
      <c r="CT86" s="494"/>
      <c r="CU86" s="494"/>
      <c r="CV86" s="494"/>
      <c r="CW86" s="494"/>
      <c r="CX86" s="494"/>
      <c r="CY86" s="494"/>
      <c r="CZ86" s="494"/>
      <c r="DA86" s="494"/>
      <c r="DB86" s="494"/>
      <c r="DC86" s="695"/>
      <c r="DD86" s="695"/>
      <c r="DE86" s="695"/>
      <c r="DF86" s="494"/>
      <c r="DG86" s="494"/>
      <c r="DH86" s="494"/>
      <c r="DI86" s="494"/>
      <c r="DJ86" s="494"/>
      <c r="DK86" s="494"/>
      <c r="DL86" s="494"/>
      <c r="DM86" s="381" t="s">
        <v>54</v>
      </c>
      <c r="DN86" s="494"/>
      <c r="DO86" s="381" t="s">
        <v>54</v>
      </c>
      <c r="DP86" s="385" t="s">
        <v>54</v>
      </c>
      <c r="DQ86" s="385" t="s">
        <v>54</v>
      </c>
      <c r="DR86" s="381" t="s">
        <v>54</v>
      </c>
      <c r="DS86" s="381" t="s">
        <v>54</v>
      </c>
      <c r="DT86" s="381" t="s">
        <v>54</v>
      </c>
      <c r="DU86" s="381" t="s">
        <v>54</v>
      </c>
      <c r="DV86" s="381" t="s">
        <v>54</v>
      </c>
      <c r="DW86" s="381" t="s">
        <v>54</v>
      </c>
      <c r="DX86" s="494"/>
      <c r="DY86" s="405" t="s">
        <v>54</v>
      </c>
      <c r="DZ86" s="494"/>
      <c r="EA86" s="405" t="s">
        <v>54</v>
      </c>
      <c r="EB86" s="405" t="s">
        <v>54</v>
      </c>
      <c r="EC86" s="405" t="s">
        <v>54</v>
      </c>
      <c r="ED86" s="381" t="s">
        <v>54</v>
      </c>
      <c r="EE86" s="381" t="s">
        <v>54</v>
      </c>
      <c r="EF86" s="381" t="s">
        <v>54</v>
      </c>
      <c r="EG86" s="381" t="s">
        <v>54</v>
      </c>
      <c r="EH86" s="381" t="s">
        <v>54</v>
      </c>
      <c r="EI86" s="381" t="s">
        <v>54</v>
      </c>
      <c r="EJ86" s="381" t="s">
        <v>54</v>
      </c>
      <c r="EK86" s="381" t="s">
        <v>54</v>
      </c>
      <c r="EL86" s="381" t="s">
        <v>54</v>
      </c>
      <c r="EM86" s="381" t="s">
        <v>54</v>
      </c>
      <c r="EN86" s="381" t="s">
        <v>54</v>
      </c>
      <c r="EO86" s="381" t="s">
        <v>54</v>
      </c>
      <c r="EP86" s="381" t="s">
        <v>54</v>
      </c>
      <c r="EQ86" s="381" t="s">
        <v>54</v>
      </c>
      <c r="ER86" s="381" t="s">
        <v>54</v>
      </c>
      <c r="ES86" s="381" t="s">
        <v>54</v>
      </c>
      <c r="ET86" s="381" t="s">
        <v>54</v>
      </c>
      <c r="EU86" s="381" t="s">
        <v>54</v>
      </c>
    </row>
    <row r="87" spans="1:151" s="1" customFormat="1" ht="19.899999999999999" customHeight="1">
      <c r="A87" s="491">
        <v>8</v>
      </c>
      <c r="B87" s="491">
        <v>8</v>
      </c>
      <c r="C87" s="486" t="s">
        <v>2797</v>
      </c>
      <c r="D87" s="491" t="s">
        <v>3087</v>
      </c>
      <c r="E87" s="495" t="s">
        <v>2924</v>
      </c>
      <c r="F87" s="491" t="s">
        <v>2976</v>
      </c>
      <c r="G87" s="512" t="s">
        <v>2977</v>
      </c>
      <c r="H87" s="491" t="s">
        <v>2978</v>
      </c>
      <c r="I87" s="491" t="s">
        <v>2979</v>
      </c>
      <c r="J87" s="491" t="s">
        <v>52</v>
      </c>
      <c r="K87" s="516" t="s">
        <v>3123</v>
      </c>
      <c r="L87" s="495" t="s">
        <v>3133</v>
      </c>
      <c r="M87" s="491" t="s">
        <v>2937</v>
      </c>
      <c r="N87" s="486" t="s">
        <v>3133</v>
      </c>
      <c r="O87" s="512" t="s">
        <v>2937</v>
      </c>
      <c r="P87" s="517" t="s">
        <v>2902</v>
      </c>
      <c r="Q87" s="491">
        <v>6</v>
      </c>
      <c r="R87" s="381" t="s">
        <v>2974</v>
      </c>
      <c r="S87" s="382" t="s">
        <v>52</v>
      </c>
      <c r="T87" s="382" t="s">
        <v>52</v>
      </c>
      <c r="U87" s="390" t="s">
        <v>52</v>
      </c>
      <c r="V87" s="398" t="s">
        <v>52</v>
      </c>
      <c r="W87" s="398" t="s">
        <v>52</v>
      </c>
      <c r="X87" s="489" t="s">
        <v>52</v>
      </c>
      <c r="Y87" s="398" t="s">
        <v>52</v>
      </c>
      <c r="Z87" s="520" t="s">
        <v>52</v>
      </c>
      <c r="AA87" s="398" t="s">
        <v>52</v>
      </c>
      <c r="AB87" s="491" t="s">
        <v>52</v>
      </c>
      <c r="AC87" s="398" t="s">
        <v>52</v>
      </c>
      <c r="AD87" s="491" t="s">
        <v>52</v>
      </c>
      <c r="AE87" s="404" t="s">
        <v>52</v>
      </c>
      <c r="AF87" s="398" t="s">
        <v>52</v>
      </c>
      <c r="AG87" s="398" t="s">
        <v>52</v>
      </c>
      <c r="AH87" s="398" t="s">
        <v>52</v>
      </c>
      <c r="AI87" s="398" t="s">
        <v>52</v>
      </c>
      <c r="AJ87" s="483" t="s">
        <v>54</v>
      </c>
      <c r="AK87" s="483" t="s">
        <v>54</v>
      </c>
      <c r="AL87" s="483" t="s">
        <v>54</v>
      </c>
      <c r="AM87" s="483" t="s">
        <v>54</v>
      </c>
      <c r="AN87" s="483" t="s">
        <v>54</v>
      </c>
      <c r="AO87" s="483" t="s">
        <v>54</v>
      </c>
      <c r="AP87" s="381" t="s">
        <v>54</v>
      </c>
      <c r="AQ87" s="486" t="s">
        <v>54</v>
      </c>
      <c r="AR87" s="381" t="s">
        <v>54</v>
      </c>
      <c r="AS87" s="385" t="s">
        <v>54</v>
      </c>
      <c r="AT87" s="385" t="s">
        <v>54</v>
      </c>
      <c r="AU87" s="381" t="s">
        <v>54</v>
      </c>
      <c r="AV87" s="381" t="s">
        <v>54</v>
      </c>
      <c r="AW87" s="381" t="s">
        <v>54</v>
      </c>
      <c r="AX87" s="381" t="s">
        <v>54</v>
      </c>
      <c r="AY87" s="381" t="s">
        <v>54</v>
      </c>
      <c r="AZ87" s="381" t="s">
        <v>54</v>
      </c>
      <c r="BA87" s="489" t="s">
        <v>54</v>
      </c>
      <c r="BB87" s="392" t="s">
        <v>54</v>
      </c>
      <c r="BC87" s="489" t="s">
        <v>54</v>
      </c>
      <c r="BD87" s="392" t="s">
        <v>54</v>
      </c>
      <c r="BE87" s="397" t="s">
        <v>54</v>
      </c>
      <c r="BF87" s="397" t="s">
        <v>54</v>
      </c>
      <c r="BG87" s="397" t="s">
        <v>54</v>
      </c>
      <c r="BH87" s="397" t="s">
        <v>54</v>
      </c>
      <c r="BI87" s="397" t="s">
        <v>54</v>
      </c>
      <c r="BJ87" s="397" t="s">
        <v>54</v>
      </c>
      <c r="BK87" s="381" t="s">
        <v>54</v>
      </c>
      <c r="BL87" s="381" t="s">
        <v>54</v>
      </c>
      <c r="BM87" s="381" t="s">
        <v>54</v>
      </c>
      <c r="BN87" s="381" t="s">
        <v>54</v>
      </c>
      <c r="BO87" s="381" t="s">
        <v>54</v>
      </c>
      <c r="BP87" s="381" t="s">
        <v>54</v>
      </c>
      <c r="BQ87" s="381" t="s">
        <v>54</v>
      </c>
      <c r="BR87" s="381" t="s">
        <v>54</v>
      </c>
      <c r="BS87" s="381" t="s">
        <v>54</v>
      </c>
      <c r="BT87" s="397" t="s">
        <v>54</v>
      </c>
      <c r="BU87" s="381" t="s">
        <v>54</v>
      </c>
      <c r="BV87" s="381" t="s">
        <v>54</v>
      </c>
      <c r="BW87" s="381" t="s">
        <v>54</v>
      </c>
      <c r="BX87" s="381" t="s">
        <v>54</v>
      </c>
      <c r="BY87" s="381" t="s">
        <v>54</v>
      </c>
      <c r="BZ87" s="381" t="s">
        <v>54</v>
      </c>
      <c r="CA87" s="381" t="s">
        <v>54</v>
      </c>
      <c r="CB87" s="381" t="s">
        <v>54</v>
      </c>
      <c r="CC87" s="381" t="s">
        <v>54</v>
      </c>
      <c r="CD87" s="381" t="s">
        <v>54</v>
      </c>
      <c r="CE87" s="381" t="s">
        <v>54</v>
      </c>
      <c r="CF87" s="381" t="s">
        <v>54</v>
      </c>
      <c r="CG87" s="381" t="s">
        <v>54</v>
      </c>
      <c r="CH87" s="381" t="s">
        <v>54</v>
      </c>
      <c r="CI87" s="381" t="s">
        <v>54</v>
      </c>
      <c r="CJ87" s="381" t="s">
        <v>54</v>
      </c>
      <c r="CK87" s="381" t="s">
        <v>54</v>
      </c>
      <c r="CL87" s="381" t="s">
        <v>54</v>
      </c>
      <c r="CM87" s="483" t="s">
        <v>54</v>
      </c>
      <c r="CN87" s="483" t="s">
        <v>54</v>
      </c>
      <c r="CO87" s="491" t="s">
        <v>54</v>
      </c>
      <c r="CP87" s="491" t="s">
        <v>54</v>
      </c>
      <c r="CQ87" s="491" t="s">
        <v>54</v>
      </c>
      <c r="CR87" s="491" t="s">
        <v>54</v>
      </c>
      <c r="CS87" s="491" t="s">
        <v>54</v>
      </c>
      <c r="CT87" s="542" t="s">
        <v>2024</v>
      </c>
      <c r="CU87" s="491">
        <v>2015</v>
      </c>
      <c r="CV87" s="491" t="s">
        <v>2953</v>
      </c>
      <c r="CW87" s="491" t="s">
        <v>1975</v>
      </c>
      <c r="CX87" s="542" t="s">
        <v>3088</v>
      </c>
      <c r="CY87" s="542" t="s">
        <v>3089</v>
      </c>
      <c r="CZ87" s="542" t="s">
        <v>52</v>
      </c>
      <c r="DA87" s="542" t="s">
        <v>52</v>
      </c>
      <c r="DB87" s="542" t="s">
        <v>2982</v>
      </c>
      <c r="DC87" s="491" t="s">
        <v>54</v>
      </c>
      <c r="DD87" s="491" t="s">
        <v>54</v>
      </c>
      <c r="DE87" s="491" t="s">
        <v>54</v>
      </c>
      <c r="DF87" s="491" t="s">
        <v>54</v>
      </c>
      <c r="DG87" s="565" t="s">
        <v>54</v>
      </c>
      <c r="DH87" s="565" t="s">
        <v>54</v>
      </c>
      <c r="DI87" s="565" t="s">
        <v>54</v>
      </c>
      <c r="DJ87" s="565" t="s">
        <v>54</v>
      </c>
      <c r="DK87" s="565" t="s">
        <v>54</v>
      </c>
      <c r="DL87" s="565" t="s">
        <v>54</v>
      </c>
      <c r="DM87" s="381" t="s">
        <v>54</v>
      </c>
      <c r="DN87" s="565" t="s">
        <v>54</v>
      </c>
      <c r="DO87" s="381" t="s">
        <v>54</v>
      </c>
      <c r="DP87" s="385" t="s">
        <v>54</v>
      </c>
      <c r="DQ87" s="385" t="s">
        <v>54</v>
      </c>
      <c r="DR87" s="381" t="s">
        <v>54</v>
      </c>
      <c r="DS87" s="381" t="s">
        <v>54</v>
      </c>
      <c r="DT87" s="381" t="s">
        <v>54</v>
      </c>
      <c r="DU87" s="381" t="s">
        <v>54</v>
      </c>
      <c r="DV87" s="381" t="s">
        <v>54</v>
      </c>
      <c r="DW87" s="381" t="s">
        <v>54</v>
      </c>
      <c r="DX87" s="565" t="s">
        <v>54</v>
      </c>
      <c r="DY87" s="405" t="s">
        <v>54</v>
      </c>
      <c r="DZ87" s="565" t="s">
        <v>54</v>
      </c>
      <c r="EA87" s="405" t="s">
        <v>54</v>
      </c>
      <c r="EB87" s="405" t="s">
        <v>54</v>
      </c>
      <c r="EC87" s="405" t="s">
        <v>54</v>
      </c>
      <c r="ED87" s="381" t="s">
        <v>54</v>
      </c>
      <c r="EE87" s="381" t="s">
        <v>54</v>
      </c>
      <c r="EF87" s="381" t="s">
        <v>54</v>
      </c>
      <c r="EG87" s="381" t="s">
        <v>54</v>
      </c>
      <c r="EH87" s="381" t="s">
        <v>54</v>
      </c>
      <c r="EI87" s="381" t="s">
        <v>54</v>
      </c>
      <c r="EJ87" s="381" t="s">
        <v>54</v>
      </c>
      <c r="EK87" s="381" t="s">
        <v>54</v>
      </c>
      <c r="EL87" s="381" t="s">
        <v>54</v>
      </c>
      <c r="EM87" s="381" t="s">
        <v>54</v>
      </c>
      <c r="EN87" s="381" t="s">
        <v>54</v>
      </c>
      <c r="EO87" s="381" t="s">
        <v>54</v>
      </c>
      <c r="EP87" s="381" t="s">
        <v>54</v>
      </c>
      <c r="EQ87" s="381" t="s">
        <v>54</v>
      </c>
      <c r="ER87" s="381" t="s">
        <v>54</v>
      </c>
      <c r="ES87" s="381" t="s">
        <v>54</v>
      </c>
      <c r="ET87" s="381" t="s">
        <v>54</v>
      </c>
      <c r="EU87" s="381" t="s">
        <v>54</v>
      </c>
    </row>
    <row r="88" spans="1:151" s="1" customFormat="1" ht="19.899999999999999" customHeight="1">
      <c r="A88" s="487"/>
      <c r="B88" s="487"/>
      <c r="C88" s="487"/>
      <c r="D88" s="487"/>
      <c r="E88" s="546"/>
      <c r="F88" s="487"/>
      <c r="G88" s="561"/>
      <c r="H88" s="487"/>
      <c r="I88" s="487"/>
      <c r="J88" s="487"/>
      <c r="K88" s="562"/>
      <c r="L88" s="546"/>
      <c r="M88" s="487"/>
      <c r="N88" s="487"/>
      <c r="O88" s="561"/>
      <c r="P88" s="518"/>
      <c r="Q88" s="487"/>
      <c r="R88" s="381" t="s">
        <v>2730</v>
      </c>
      <c r="S88" s="382" t="s">
        <v>52</v>
      </c>
      <c r="T88" s="382" t="s">
        <v>52</v>
      </c>
      <c r="U88" s="398" t="s">
        <v>52</v>
      </c>
      <c r="V88" s="398" t="s">
        <v>52</v>
      </c>
      <c r="W88" s="398" t="s">
        <v>52</v>
      </c>
      <c r="X88" s="489"/>
      <c r="Y88" s="398" t="s">
        <v>52</v>
      </c>
      <c r="Z88" s="520"/>
      <c r="AA88" s="398" t="s">
        <v>52</v>
      </c>
      <c r="AB88" s="487"/>
      <c r="AC88" s="398" t="s">
        <v>52</v>
      </c>
      <c r="AD88" s="487"/>
      <c r="AE88" s="404" t="s">
        <v>52</v>
      </c>
      <c r="AF88" s="398" t="s">
        <v>52</v>
      </c>
      <c r="AG88" s="398" t="s">
        <v>52</v>
      </c>
      <c r="AH88" s="398" t="s">
        <v>52</v>
      </c>
      <c r="AI88" s="398" t="s">
        <v>52</v>
      </c>
      <c r="AJ88" s="563"/>
      <c r="AK88" s="563"/>
      <c r="AL88" s="563"/>
      <c r="AM88" s="563"/>
      <c r="AN88" s="563"/>
      <c r="AO88" s="563"/>
      <c r="AP88" s="381" t="s">
        <v>54</v>
      </c>
      <c r="AQ88" s="487"/>
      <c r="AR88" s="381" t="s">
        <v>54</v>
      </c>
      <c r="AS88" s="385" t="s">
        <v>54</v>
      </c>
      <c r="AT88" s="385" t="s">
        <v>54</v>
      </c>
      <c r="AU88" s="381" t="s">
        <v>54</v>
      </c>
      <c r="AV88" s="381" t="s">
        <v>54</v>
      </c>
      <c r="AW88" s="381" t="s">
        <v>54</v>
      </c>
      <c r="AX88" s="381" t="s">
        <v>54</v>
      </c>
      <c r="AY88" s="381" t="s">
        <v>54</v>
      </c>
      <c r="AZ88" s="381" t="s">
        <v>54</v>
      </c>
      <c r="BA88" s="489"/>
      <c r="BB88" s="397" t="s">
        <v>54</v>
      </c>
      <c r="BC88" s="489"/>
      <c r="BD88" s="397" t="s">
        <v>54</v>
      </c>
      <c r="BE88" s="397" t="s">
        <v>54</v>
      </c>
      <c r="BF88" s="397" t="s">
        <v>54</v>
      </c>
      <c r="BG88" s="397" t="s">
        <v>54</v>
      </c>
      <c r="BH88" s="397" t="s">
        <v>54</v>
      </c>
      <c r="BI88" s="397" t="s">
        <v>54</v>
      </c>
      <c r="BJ88" s="397" t="s">
        <v>54</v>
      </c>
      <c r="BK88" s="381" t="s">
        <v>54</v>
      </c>
      <c r="BL88" s="381" t="s">
        <v>54</v>
      </c>
      <c r="BM88" s="381" t="s">
        <v>54</v>
      </c>
      <c r="BN88" s="381" t="s">
        <v>54</v>
      </c>
      <c r="BO88" s="381" t="s">
        <v>54</v>
      </c>
      <c r="BP88" s="381" t="s">
        <v>54</v>
      </c>
      <c r="BQ88" s="381" t="s">
        <v>54</v>
      </c>
      <c r="BR88" s="381" t="s">
        <v>54</v>
      </c>
      <c r="BS88" s="381" t="s">
        <v>54</v>
      </c>
      <c r="BT88" s="397" t="s">
        <v>54</v>
      </c>
      <c r="BU88" s="381" t="s">
        <v>54</v>
      </c>
      <c r="BV88" s="381" t="s">
        <v>54</v>
      </c>
      <c r="BW88" s="381" t="s">
        <v>54</v>
      </c>
      <c r="BX88" s="381" t="s">
        <v>54</v>
      </c>
      <c r="BY88" s="381" t="s">
        <v>54</v>
      </c>
      <c r="BZ88" s="381" t="s">
        <v>54</v>
      </c>
      <c r="CA88" s="381" t="s">
        <v>54</v>
      </c>
      <c r="CB88" s="381" t="s">
        <v>54</v>
      </c>
      <c r="CC88" s="381" t="s">
        <v>54</v>
      </c>
      <c r="CD88" s="381" t="s">
        <v>54</v>
      </c>
      <c r="CE88" s="381" t="s">
        <v>54</v>
      </c>
      <c r="CF88" s="381" t="s">
        <v>54</v>
      </c>
      <c r="CG88" s="381" t="s">
        <v>54</v>
      </c>
      <c r="CH88" s="381" t="s">
        <v>54</v>
      </c>
      <c r="CI88" s="381" t="s">
        <v>54</v>
      </c>
      <c r="CJ88" s="381"/>
      <c r="CK88" s="381"/>
      <c r="CL88" s="381" t="s">
        <v>54</v>
      </c>
      <c r="CM88" s="563"/>
      <c r="CN88" s="563"/>
      <c r="CO88" s="487"/>
      <c r="CP88" s="487"/>
      <c r="CQ88" s="487"/>
      <c r="CR88" s="487"/>
      <c r="CS88" s="487"/>
      <c r="CT88" s="564"/>
      <c r="CU88" s="487"/>
      <c r="CV88" s="487"/>
      <c r="CW88" s="487"/>
      <c r="CX88" s="564"/>
      <c r="CY88" s="564"/>
      <c r="CZ88" s="564"/>
      <c r="DA88" s="564"/>
      <c r="DB88" s="564"/>
      <c r="DC88" s="487"/>
      <c r="DD88" s="487"/>
      <c r="DE88" s="487"/>
      <c r="DF88" s="487"/>
      <c r="DG88" s="566"/>
      <c r="DH88" s="566"/>
      <c r="DI88" s="566"/>
      <c r="DJ88" s="566"/>
      <c r="DK88" s="566"/>
      <c r="DL88" s="566"/>
      <c r="DM88" s="381" t="s">
        <v>54</v>
      </c>
      <c r="DN88" s="566"/>
      <c r="DO88" s="381" t="s">
        <v>54</v>
      </c>
      <c r="DP88" s="385" t="s">
        <v>54</v>
      </c>
      <c r="DQ88" s="385" t="s">
        <v>54</v>
      </c>
      <c r="DR88" s="381" t="s">
        <v>54</v>
      </c>
      <c r="DS88" s="381" t="s">
        <v>54</v>
      </c>
      <c r="DT88" s="381" t="s">
        <v>54</v>
      </c>
      <c r="DU88" s="381" t="s">
        <v>54</v>
      </c>
      <c r="DV88" s="381" t="s">
        <v>54</v>
      </c>
      <c r="DW88" s="381" t="s">
        <v>54</v>
      </c>
      <c r="DX88" s="566"/>
      <c r="DY88" s="405" t="s">
        <v>54</v>
      </c>
      <c r="DZ88" s="566"/>
      <c r="EA88" s="405" t="s">
        <v>54</v>
      </c>
      <c r="EB88" s="405" t="s">
        <v>54</v>
      </c>
      <c r="EC88" s="405" t="s">
        <v>54</v>
      </c>
      <c r="ED88" s="381" t="s">
        <v>54</v>
      </c>
      <c r="EE88" s="381" t="s">
        <v>54</v>
      </c>
      <c r="EF88" s="381" t="s">
        <v>54</v>
      </c>
      <c r="EG88" s="381" t="s">
        <v>54</v>
      </c>
      <c r="EH88" s="381" t="s">
        <v>54</v>
      </c>
      <c r="EI88" s="381" t="s">
        <v>54</v>
      </c>
      <c r="EJ88" s="381" t="s">
        <v>54</v>
      </c>
      <c r="EK88" s="381" t="s">
        <v>54</v>
      </c>
      <c r="EL88" s="381" t="s">
        <v>54</v>
      </c>
      <c r="EM88" s="381" t="s">
        <v>54</v>
      </c>
      <c r="EN88" s="381" t="s">
        <v>54</v>
      </c>
      <c r="EO88" s="381" t="s">
        <v>54</v>
      </c>
      <c r="EP88" s="381" t="s">
        <v>54</v>
      </c>
      <c r="EQ88" s="381" t="s">
        <v>54</v>
      </c>
      <c r="ER88" s="381" t="s">
        <v>54</v>
      </c>
      <c r="ES88" s="381" t="s">
        <v>54</v>
      </c>
      <c r="ET88" s="381" t="s">
        <v>54</v>
      </c>
      <c r="EU88" s="381" t="s">
        <v>54</v>
      </c>
    </row>
    <row r="89" spans="1:151" s="1" customFormat="1" ht="19.899999999999999" customHeight="1">
      <c r="A89" s="492"/>
      <c r="B89" s="492"/>
      <c r="C89" s="487"/>
      <c r="D89" s="509"/>
      <c r="E89" s="506"/>
      <c r="F89" s="509"/>
      <c r="G89" s="513"/>
      <c r="H89" s="509"/>
      <c r="I89" s="509"/>
      <c r="J89" s="509"/>
      <c r="K89" s="492"/>
      <c r="L89" s="496"/>
      <c r="M89" s="492"/>
      <c r="N89" s="487"/>
      <c r="O89" s="513"/>
      <c r="P89" s="518"/>
      <c r="Q89" s="492"/>
      <c r="R89" s="381" t="s">
        <v>2980</v>
      </c>
      <c r="S89" s="382" t="s">
        <v>52</v>
      </c>
      <c r="T89" s="382" t="s">
        <v>52</v>
      </c>
      <c r="U89" s="398" t="s">
        <v>52</v>
      </c>
      <c r="V89" s="398" t="s">
        <v>52</v>
      </c>
      <c r="W89" s="398" t="s">
        <v>52</v>
      </c>
      <c r="X89" s="490"/>
      <c r="Y89" s="398" t="s">
        <v>52</v>
      </c>
      <c r="Z89" s="521"/>
      <c r="AA89" s="398" t="s">
        <v>52</v>
      </c>
      <c r="AB89" s="492"/>
      <c r="AC89" s="398" t="s">
        <v>52</v>
      </c>
      <c r="AD89" s="492"/>
      <c r="AE89" s="404" t="s">
        <v>52</v>
      </c>
      <c r="AF89" s="398" t="s">
        <v>52</v>
      </c>
      <c r="AG89" s="398" t="s">
        <v>52</v>
      </c>
      <c r="AH89" s="398" t="s">
        <v>52</v>
      </c>
      <c r="AI89" s="398" t="s">
        <v>52</v>
      </c>
      <c r="AJ89" s="484"/>
      <c r="AK89" s="484"/>
      <c r="AL89" s="484"/>
      <c r="AM89" s="484"/>
      <c r="AN89" s="484"/>
      <c r="AO89" s="484"/>
      <c r="AP89" s="381" t="s">
        <v>54</v>
      </c>
      <c r="AQ89" s="487"/>
      <c r="AR89" s="381" t="s">
        <v>54</v>
      </c>
      <c r="AS89" s="385" t="s">
        <v>54</v>
      </c>
      <c r="AT89" s="385" t="s">
        <v>54</v>
      </c>
      <c r="AU89" s="381" t="s">
        <v>54</v>
      </c>
      <c r="AV89" s="381" t="s">
        <v>54</v>
      </c>
      <c r="AW89" s="381" t="s">
        <v>54</v>
      </c>
      <c r="AX89" s="381" t="s">
        <v>54</v>
      </c>
      <c r="AY89" s="381" t="s">
        <v>54</v>
      </c>
      <c r="AZ89" s="381" t="s">
        <v>54</v>
      </c>
      <c r="BA89" s="490"/>
      <c r="BB89" s="397" t="s">
        <v>54</v>
      </c>
      <c r="BC89" s="490"/>
      <c r="BD89" s="397" t="s">
        <v>54</v>
      </c>
      <c r="BE89" s="397" t="s">
        <v>54</v>
      </c>
      <c r="BF89" s="397" t="s">
        <v>54</v>
      </c>
      <c r="BG89" s="397" t="s">
        <v>54</v>
      </c>
      <c r="BH89" s="397" t="s">
        <v>54</v>
      </c>
      <c r="BI89" s="397" t="s">
        <v>54</v>
      </c>
      <c r="BJ89" s="397" t="s">
        <v>54</v>
      </c>
      <c r="BK89" s="381" t="s">
        <v>54</v>
      </c>
      <c r="BL89" s="381" t="s">
        <v>54</v>
      </c>
      <c r="BM89" s="381" t="s">
        <v>54</v>
      </c>
      <c r="BN89" s="381" t="s">
        <v>54</v>
      </c>
      <c r="BO89" s="381" t="s">
        <v>54</v>
      </c>
      <c r="BP89" s="381" t="s">
        <v>54</v>
      </c>
      <c r="BQ89" s="381" t="s">
        <v>54</v>
      </c>
      <c r="BR89" s="381" t="s">
        <v>54</v>
      </c>
      <c r="BS89" s="381" t="s">
        <v>54</v>
      </c>
      <c r="BT89" s="397" t="s">
        <v>54</v>
      </c>
      <c r="BU89" s="381" t="s">
        <v>54</v>
      </c>
      <c r="BV89" s="381" t="s">
        <v>54</v>
      </c>
      <c r="BW89" s="381" t="s">
        <v>54</v>
      </c>
      <c r="BX89" s="381" t="s">
        <v>54</v>
      </c>
      <c r="BY89" s="381" t="s">
        <v>54</v>
      </c>
      <c r="BZ89" s="381" t="s">
        <v>54</v>
      </c>
      <c r="CA89" s="381" t="s">
        <v>54</v>
      </c>
      <c r="CB89" s="381" t="s">
        <v>54</v>
      </c>
      <c r="CC89" s="381" t="s">
        <v>54</v>
      </c>
      <c r="CD89" s="381" t="s">
        <v>54</v>
      </c>
      <c r="CE89" s="381" t="s">
        <v>54</v>
      </c>
      <c r="CF89" s="381" t="s">
        <v>54</v>
      </c>
      <c r="CG89" s="381" t="s">
        <v>54</v>
      </c>
      <c r="CH89" s="381" t="s">
        <v>54</v>
      </c>
      <c r="CI89" s="381" t="s">
        <v>54</v>
      </c>
      <c r="CJ89" s="381" t="s">
        <v>54</v>
      </c>
      <c r="CK89" s="381" t="s">
        <v>54</v>
      </c>
      <c r="CL89" s="381" t="s">
        <v>54</v>
      </c>
      <c r="CM89" s="499"/>
      <c r="CN89" s="499"/>
      <c r="CO89" s="492"/>
      <c r="CP89" s="492"/>
      <c r="CQ89" s="492"/>
      <c r="CR89" s="492"/>
      <c r="CS89" s="492"/>
      <c r="CT89" s="492"/>
      <c r="CU89" s="492"/>
      <c r="CV89" s="492"/>
      <c r="CW89" s="492"/>
      <c r="CX89" s="492"/>
      <c r="CY89" s="492"/>
      <c r="CZ89" s="492"/>
      <c r="DA89" s="492"/>
      <c r="DB89" s="492"/>
      <c r="DC89" s="492"/>
      <c r="DD89" s="492"/>
      <c r="DE89" s="492"/>
      <c r="DF89" s="492"/>
      <c r="DG89" s="566"/>
      <c r="DH89" s="566"/>
      <c r="DI89" s="566"/>
      <c r="DJ89" s="566"/>
      <c r="DK89" s="566"/>
      <c r="DL89" s="566"/>
      <c r="DM89" s="381" t="s">
        <v>54</v>
      </c>
      <c r="DN89" s="566"/>
      <c r="DO89" s="381" t="s">
        <v>54</v>
      </c>
      <c r="DP89" s="385" t="s">
        <v>54</v>
      </c>
      <c r="DQ89" s="385" t="s">
        <v>54</v>
      </c>
      <c r="DR89" s="381" t="s">
        <v>54</v>
      </c>
      <c r="DS89" s="381" t="s">
        <v>54</v>
      </c>
      <c r="DT89" s="381" t="s">
        <v>54</v>
      </c>
      <c r="DU89" s="381" t="s">
        <v>54</v>
      </c>
      <c r="DV89" s="381" t="s">
        <v>54</v>
      </c>
      <c r="DW89" s="381" t="s">
        <v>54</v>
      </c>
      <c r="DX89" s="566"/>
      <c r="DY89" s="405" t="s">
        <v>54</v>
      </c>
      <c r="DZ89" s="566"/>
      <c r="EA89" s="405" t="s">
        <v>54</v>
      </c>
      <c r="EB89" s="405" t="s">
        <v>54</v>
      </c>
      <c r="EC89" s="405" t="s">
        <v>54</v>
      </c>
      <c r="ED89" s="381" t="s">
        <v>54</v>
      </c>
      <c r="EE89" s="381" t="s">
        <v>54</v>
      </c>
      <c r="EF89" s="381" t="s">
        <v>54</v>
      </c>
      <c r="EG89" s="381" t="s">
        <v>54</v>
      </c>
      <c r="EH89" s="381" t="s">
        <v>54</v>
      </c>
      <c r="EI89" s="381" t="s">
        <v>54</v>
      </c>
      <c r="EJ89" s="381" t="s">
        <v>54</v>
      </c>
      <c r="EK89" s="381" t="s">
        <v>54</v>
      </c>
      <c r="EL89" s="381" t="s">
        <v>54</v>
      </c>
      <c r="EM89" s="381" t="s">
        <v>54</v>
      </c>
      <c r="EN89" s="381" t="s">
        <v>54</v>
      </c>
      <c r="EO89" s="381" t="s">
        <v>54</v>
      </c>
      <c r="EP89" s="381" t="s">
        <v>54</v>
      </c>
      <c r="EQ89" s="381" t="s">
        <v>54</v>
      </c>
      <c r="ER89" s="381" t="s">
        <v>54</v>
      </c>
      <c r="ES89" s="381" t="s">
        <v>54</v>
      </c>
      <c r="ET89" s="381" t="s">
        <v>54</v>
      </c>
      <c r="EU89" s="381" t="s">
        <v>54</v>
      </c>
    </row>
    <row r="90" spans="1:151" s="1" customFormat="1" ht="19.899999999999999" customHeight="1">
      <c r="A90" s="493"/>
      <c r="B90" s="493"/>
      <c r="C90" s="487"/>
      <c r="D90" s="510"/>
      <c r="E90" s="507"/>
      <c r="F90" s="510"/>
      <c r="G90" s="514"/>
      <c r="H90" s="510"/>
      <c r="I90" s="510"/>
      <c r="J90" s="510"/>
      <c r="K90" s="493"/>
      <c r="L90" s="497"/>
      <c r="M90" s="493"/>
      <c r="N90" s="487"/>
      <c r="O90" s="514"/>
      <c r="P90" s="518"/>
      <c r="Q90" s="493"/>
      <c r="R90" s="381" t="s">
        <v>2959</v>
      </c>
      <c r="S90" s="382" t="s">
        <v>52</v>
      </c>
      <c r="T90" s="382" t="s">
        <v>52</v>
      </c>
      <c r="U90" s="398" t="s">
        <v>52</v>
      </c>
      <c r="V90" s="398" t="s">
        <v>52</v>
      </c>
      <c r="W90" s="398" t="s">
        <v>52</v>
      </c>
      <c r="X90" s="490"/>
      <c r="Y90" s="398" t="s">
        <v>52</v>
      </c>
      <c r="Z90" s="521"/>
      <c r="AA90" s="398" t="s">
        <v>52</v>
      </c>
      <c r="AB90" s="493"/>
      <c r="AC90" s="398" t="s">
        <v>52</v>
      </c>
      <c r="AD90" s="493"/>
      <c r="AE90" s="404" t="s">
        <v>52</v>
      </c>
      <c r="AF90" s="398" t="s">
        <v>52</v>
      </c>
      <c r="AG90" s="398" t="s">
        <v>52</v>
      </c>
      <c r="AH90" s="398" t="s">
        <v>52</v>
      </c>
      <c r="AI90" s="398" t="s">
        <v>52</v>
      </c>
      <c r="AJ90" s="484"/>
      <c r="AK90" s="484"/>
      <c r="AL90" s="484"/>
      <c r="AM90" s="484"/>
      <c r="AN90" s="484"/>
      <c r="AO90" s="484"/>
      <c r="AP90" s="381" t="s">
        <v>54</v>
      </c>
      <c r="AQ90" s="487"/>
      <c r="AR90" s="381" t="s">
        <v>54</v>
      </c>
      <c r="AS90" s="385" t="s">
        <v>54</v>
      </c>
      <c r="AT90" s="385" t="s">
        <v>54</v>
      </c>
      <c r="AU90" s="381" t="s">
        <v>54</v>
      </c>
      <c r="AV90" s="381" t="s">
        <v>54</v>
      </c>
      <c r="AW90" s="381" t="s">
        <v>54</v>
      </c>
      <c r="AX90" s="381" t="s">
        <v>54</v>
      </c>
      <c r="AY90" s="381" t="s">
        <v>54</v>
      </c>
      <c r="AZ90" s="381" t="s">
        <v>54</v>
      </c>
      <c r="BA90" s="490"/>
      <c r="BB90" s="397" t="s">
        <v>54</v>
      </c>
      <c r="BC90" s="490"/>
      <c r="BD90" s="397" t="s">
        <v>54</v>
      </c>
      <c r="BE90" s="397" t="s">
        <v>54</v>
      </c>
      <c r="BF90" s="397" t="s">
        <v>54</v>
      </c>
      <c r="BG90" s="397" t="s">
        <v>54</v>
      </c>
      <c r="BH90" s="397" t="s">
        <v>54</v>
      </c>
      <c r="BI90" s="397" t="s">
        <v>54</v>
      </c>
      <c r="BJ90" s="397" t="s">
        <v>54</v>
      </c>
      <c r="BK90" s="381" t="s">
        <v>54</v>
      </c>
      <c r="BL90" s="381" t="s">
        <v>54</v>
      </c>
      <c r="BM90" s="381" t="s">
        <v>54</v>
      </c>
      <c r="BN90" s="381" t="s">
        <v>54</v>
      </c>
      <c r="BO90" s="381" t="s">
        <v>54</v>
      </c>
      <c r="BP90" s="381" t="s">
        <v>54</v>
      </c>
      <c r="BQ90" s="381" t="s">
        <v>54</v>
      </c>
      <c r="BR90" s="381" t="s">
        <v>54</v>
      </c>
      <c r="BS90" s="381" t="s">
        <v>54</v>
      </c>
      <c r="BT90" s="397" t="s">
        <v>54</v>
      </c>
      <c r="BU90" s="381" t="s">
        <v>54</v>
      </c>
      <c r="BV90" s="381" t="s">
        <v>54</v>
      </c>
      <c r="BW90" s="381" t="s">
        <v>54</v>
      </c>
      <c r="BX90" s="381" t="s">
        <v>54</v>
      </c>
      <c r="BY90" s="381" t="s">
        <v>54</v>
      </c>
      <c r="BZ90" s="381" t="s">
        <v>54</v>
      </c>
      <c r="CA90" s="381" t="s">
        <v>54</v>
      </c>
      <c r="CB90" s="381" t="s">
        <v>54</v>
      </c>
      <c r="CC90" s="381" t="s">
        <v>54</v>
      </c>
      <c r="CD90" s="381" t="s">
        <v>54</v>
      </c>
      <c r="CE90" s="381" t="s">
        <v>54</v>
      </c>
      <c r="CF90" s="381" t="s">
        <v>54</v>
      </c>
      <c r="CG90" s="381" t="s">
        <v>54</v>
      </c>
      <c r="CH90" s="381" t="s">
        <v>54</v>
      </c>
      <c r="CI90" s="381" t="s">
        <v>54</v>
      </c>
      <c r="CJ90" s="381" t="s">
        <v>54</v>
      </c>
      <c r="CK90" s="381" t="s">
        <v>54</v>
      </c>
      <c r="CL90" s="381" t="s">
        <v>54</v>
      </c>
      <c r="CM90" s="499"/>
      <c r="CN90" s="499"/>
      <c r="CO90" s="493"/>
      <c r="CP90" s="493"/>
      <c r="CQ90" s="493"/>
      <c r="CR90" s="493"/>
      <c r="CS90" s="493"/>
      <c r="CT90" s="493"/>
      <c r="CU90" s="493"/>
      <c r="CV90" s="493"/>
      <c r="CW90" s="493"/>
      <c r="CX90" s="493"/>
      <c r="CY90" s="493"/>
      <c r="CZ90" s="493"/>
      <c r="DA90" s="493"/>
      <c r="DB90" s="493"/>
      <c r="DC90" s="493"/>
      <c r="DD90" s="493"/>
      <c r="DE90" s="493"/>
      <c r="DF90" s="493"/>
      <c r="DG90" s="566"/>
      <c r="DH90" s="566"/>
      <c r="DI90" s="566"/>
      <c r="DJ90" s="566"/>
      <c r="DK90" s="566"/>
      <c r="DL90" s="566"/>
      <c r="DM90" s="381" t="s">
        <v>54</v>
      </c>
      <c r="DN90" s="566"/>
      <c r="DO90" s="381" t="s">
        <v>54</v>
      </c>
      <c r="DP90" s="385" t="s">
        <v>54</v>
      </c>
      <c r="DQ90" s="385" t="s">
        <v>54</v>
      </c>
      <c r="DR90" s="381" t="s">
        <v>54</v>
      </c>
      <c r="DS90" s="381" t="s">
        <v>54</v>
      </c>
      <c r="DT90" s="381" t="s">
        <v>54</v>
      </c>
      <c r="DU90" s="381" t="s">
        <v>54</v>
      </c>
      <c r="DV90" s="381" t="s">
        <v>54</v>
      </c>
      <c r="DW90" s="381" t="s">
        <v>54</v>
      </c>
      <c r="DX90" s="566"/>
      <c r="DY90" s="405" t="s">
        <v>54</v>
      </c>
      <c r="DZ90" s="566"/>
      <c r="EA90" s="405" t="s">
        <v>54</v>
      </c>
      <c r="EB90" s="405" t="s">
        <v>54</v>
      </c>
      <c r="EC90" s="405" t="s">
        <v>54</v>
      </c>
      <c r="ED90" s="381" t="s">
        <v>54</v>
      </c>
      <c r="EE90" s="381" t="s">
        <v>54</v>
      </c>
      <c r="EF90" s="381" t="s">
        <v>54</v>
      </c>
      <c r="EG90" s="381" t="s">
        <v>54</v>
      </c>
      <c r="EH90" s="381" t="s">
        <v>54</v>
      </c>
      <c r="EI90" s="381" t="s">
        <v>54</v>
      </c>
      <c r="EJ90" s="381" t="s">
        <v>54</v>
      </c>
      <c r="EK90" s="381" t="s">
        <v>54</v>
      </c>
      <c r="EL90" s="381" t="s">
        <v>54</v>
      </c>
      <c r="EM90" s="381" t="s">
        <v>54</v>
      </c>
      <c r="EN90" s="381" t="s">
        <v>54</v>
      </c>
      <c r="EO90" s="381" t="s">
        <v>54</v>
      </c>
      <c r="EP90" s="381" t="s">
        <v>54</v>
      </c>
      <c r="EQ90" s="381" t="s">
        <v>54</v>
      </c>
      <c r="ER90" s="381" t="s">
        <v>54</v>
      </c>
      <c r="ES90" s="381" t="s">
        <v>54</v>
      </c>
      <c r="ET90" s="381" t="s">
        <v>54</v>
      </c>
      <c r="EU90" s="381" t="s">
        <v>54</v>
      </c>
    </row>
    <row r="91" spans="1:151" s="1" customFormat="1" ht="19.899999999999999" customHeight="1">
      <c r="A91" s="493"/>
      <c r="B91" s="493"/>
      <c r="C91" s="487"/>
      <c r="D91" s="510"/>
      <c r="E91" s="507"/>
      <c r="F91" s="510"/>
      <c r="G91" s="514"/>
      <c r="H91" s="510"/>
      <c r="I91" s="510"/>
      <c r="J91" s="510"/>
      <c r="K91" s="493"/>
      <c r="L91" s="497"/>
      <c r="M91" s="493"/>
      <c r="N91" s="487"/>
      <c r="O91" s="514"/>
      <c r="P91" s="518"/>
      <c r="Q91" s="493"/>
      <c r="R91" s="381" t="s">
        <v>2981</v>
      </c>
      <c r="S91" s="382" t="s">
        <v>52</v>
      </c>
      <c r="T91" s="382" t="s">
        <v>52</v>
      </c>
      <c r="U91" s="398" t="s">
        <v>52</v>
      </c>
      <c r="V91" s="398" t="s">
        <v>52</v>
      </c>
      <c r="W91" s="398" t="s">
        <v>52</v>
      </c>
      <c r="X91" s="490"/>
      <c r="Y91" s="398" t="s">
        <v>52</v>
      </c>
      <c r="Z91" s="521"/>
      <c r="AA91" s="398" t="s">
        <v>52</v>
      </c>
      <c r="AB91" s="493"/>
      <c r="AC91" s="398" t="s">
        <v>52</v>
      </c>
      <c r="AD91" s="493"/>
      <c r="AE91" s="404" t="s">
        <v>52</v>
      </c>
      <c r="AF91" s="398" t="s">
        <v>52</v>
      </c>
      <c r="AG91" s="398" t="s">
        <v>52</v>
      </c>
      <c r="AH91" s="398" t="s">
        <v>52</v>
      </c>
      <c r="AI91" s="398" t="s">
        <v>52</v>
      </c>
      <c r="AJ91" s="484"/>
      <c r="AK91" s="484"/>
      <c r="AL91" s="484"/>
      <c r="AM91" s="484"/>
      <c r="AN91" s="484"/>
      <c r="AO91" s="484"/>
      <c r="AP91" s="381" t="s">
        <v>54</v>
      </c>
      <c r="AQ91" s="487"/>
      <c r="AR91" s="381" t="s">
        <v>54</v>
      </c>
      <c r="AS91" s="385" t="s">
        <v>54</v>
      </c>
      <c r="AT91" s="385" t="s">
        <v>54</v>
      </c>
      <c r="AU91" s="381" t="s">
        <v>54</v>
      </c>
      <c r="AV91" s="381" t="s">
        <v>54</v>
      </c>
      <c r="AW91" s="381" t="s">
        <v>54</v>
      </c>
      <c r="AX91" s="381" t="s">
        <v>54</v>
      </c>
      <c r="AY91" s="381" t="s">
        <v>54</v>
      </c>
      <c r="AZ91" s="381" t="s">
        <v>54</v>
      </c>
      <c r="BA91" s="490"/>
      <c r="BB91" s="397" t="s">
        <v>54</v>
      </c>
      <c r="BC91" s="490"/>
      <c r="BD91" s="397" t="s">
        <v>54</v>
      </c>
      <c r="BE91" s="397" t="s">
        <v>54</v>
      </c>
      <c r="BF91" s="397" t="s">
        <v>54</v>
      </c>
      <c r="BG91" s="397" t="s">
        <v>54</v>
      </c>
      <c r="BH91" s="397" t="s">
        <v>54</v>
      </c>
      <c r="BI91" s="397" t="s">
        <v>54</v>
      </c>
      <c r="BJ91" s="397" t="s">
        <v>54</v>
      </c>
      <c r="BK91" s="381" t="s">
        <v>54</v>
      </c>
      <c r="BL91" s="381" t="s">
        <v>54</v>
      </c>
      <c r="BM91" s="381" t="s">
        <v>54</v>
      </c>
      <c r="BN91" s="381" t="s">
        <v>54</v>
      </c>
      <c r="BO91" s="381" t="s">
        <v>54</v>
      </c>
      <c r="BP91" s="381" t="s">
        <v>54</v>
      </c>
      <c r="BQ91" s="381" t="s">
        <v>54</v>
      </c>
      <c r="BR91" s="381" t="s">
        <v>54</v>
      </c>
      <c r="BS91" s="381" t="s">
        <v>54</v>
      </c>
      <c r="BT91" s="397" t="s">
        <v>54</v>
      </c>
      <c r="BU91" s="381" t="s">
        <v>54</v>
      </c>
      <c r="BV91" s="381" t="s">
        <v>54</v>
      </c>
      <c r="BW91" s="381" t="s">
        <v>54</v>
      </c>
      <c r="BX91" s="381" t="s">
        <v>54</v>
      </c>
      <c r="BY91" s="381" t="s">
        <v>54</v>
      </c>
      <c r="BZ91" s="381" t="s">
        <v>54</v>
      </c>
      <c r="CA91" s="381" t="s">
        <v>54</v>
      </c>
      <c r="CB91" s="381" t="s">
        <v>54</v>
      </c>
      <c r="CC91" s="381" t="s">
        <v>54</v>
      </c>
      <c r="CD91" s="381" t="s">
        <v>54</v>
      </c>
      <c r="CE91" s="381" t="s">
        <v>54</v>
      </c>
      <c r="CF91" s="381" t="s">
        <v>54</v>
      </c>
      <c r="CG91" s="381" t="s">
        <v>54</v>
      </c>
      <c r="CH91" s="381" t="s">
        <v>54</v>
      </c>
      <c r="CI91" s="381" t="s">
        <v>54</v>
      </c>
      <c r="CJ91" s="381"/>
      <c r="CK91" s="381"/>
      <c r="CL91" s="381" t="s">
        <v>54</v>
      </c>
      <c r="CM91" s="499"/>
      <c r="CN91" s="499"/>
      <c r="CO91" s="493"/>
      <c r="CP91" s="493"/>
      <c r="CQ91" s="493"/>
      <c r="CR91" s="493"/>
      <c r="CS91" s="493"/>
      <c r="CT91" s="493"/>
      <c r="CU91" s="493"/>
      <c r="CV91" s="493"/>
      <c r="CW91" s="493"/>
      <c r="CX91" s="493"/>
      <c r="CY91" s="493"/>
      <c r="CZ91" s="493"/>
      <c r="DA91" s="493"/>
      <c r="DB91" s="493"/>
      <c r="DC91" s="493"/>
      <c r="DD91" s="493"/>
      <c r="DE91" s="493"/>
      <c r="DF91" s="493"/>
      <c r="DG91" s="566"/>
      <c r="DH91" s="566"/>
      <c r="DI91" s="566"/>
      <c r="DJ91" s="566"/>
      <c r="DK91" s="566"/>
      <c r="DL91" s="566"/>
      <c r="DM91" s="381" t="s">
        <v>54</v>
      </c>
      <c r="DN91" s="566"/>
      <c r="DO91" s="381" t="s">
        <v>54</v>
      </c>
      <c r="DP91" s="385" t="s">
        <v>54</v>
      </c>
      <c r="DQ91" s="385" t="s">
        <v>54</v>
      </c>
      <c r="DR91" s="381" t="s">
        <v>54</v>
      </c>
      <c r="DS91" s="381" t="s">
        <v>54</v>
      </c>
      <c r="DT91" s="381" t="s">
        <v>54</v>
      </c>
      <c r="DU91" s="381" t="s">
        <v>54</v>
      </c>
      <c r="DV91" s="381" t="s">
        <v>54</v>
      </c>
      <c r="DW91" s="381" t="s">
        <v>54</v>
      </c>
      <c r="DX91" s="566"/>
      <c r="DY91" s="405" t="s">
        <v>54</v>
      </c>
      <c r="DZ91" s="566"/>
      <c r="EA91" s="405" t="s">
        <v>54</v>
      </c>
      <c r="EB91" s="405" t="s">
        <v>54</v>
      </c>
      <c r="EC91" s="405" t="s">
        <v>54</v>
      </c>
      <c r="ED91" s="381" t="s">
        <v>54</v>
      </c>
      <c r="EE91" s="381" t="s">
        <v>54</v>
      </c>
      <c r="EF91" s="381" t="s">
        <v>54</v>
      </c>
      <c r="EG91" s="381" t="s">
        <v>54</v>
      </c>
      <c r="EH91" s="381" t="s">
        <v>54</v>
      </c>
      <c r="EI91" s="381" t="s">
        <v>54</v>
      </c>
      <c r="EJ91" s="381" t="s">
        <v>54</v>
      </c>
      <c r="EK91" s="381" t="s">
        <v>54</v>
      </c>
      <c r="EL91" s="381" t="s">
        <v>54</v>
      </c>
      <c r="EM91" s="381" t="s">
        <v>54</v>
      </c>
      <c r="EN91" s="381" t="s">
        <v>54</v>
      </c>
      <c r="EO91" s="381" t="s">
        <v>54</v>
      </c>
      <c r="EP91" s="381" t="s">
        <v>54</v>
      </c>
      <c r="EQ91" s="381" t="s">
        <v>54</v>
      </c>
      <c r="ER91" s="381" t="s">
        <v>54</v>
      </c>
      <c r="ES91" s="381" t="s">
        <v>54</v>
      </c>
      <c r="ET91" s="381" t="s">
        <v>54</v>
      </c>
      <c r="EU91" s="381" t="s">
        <v>54</v>
      </c>
    </row>
    <row r="92" spans="1:151" s="1" customFormat="1" ht="19.899999999999999" customHeight="1">
      <c r="A92" s="494"/>
      <c r="B92" s="494"/>
      <c r="C92" s="488"/>
      <c r="D92" s="511"/>
      <c r="E92" s="508"/>
      <c r="F92" s="511"/>
      <c r="G92" s="515"/>
      <c r="H92" s="511"/>
      <c r="I92" s="511"/>
      <c r="J92" s="511"/>
      <c r="K92" s="494"/>
      <c r="L92" s="498"/>
      <c r="M92" s="494"/>
      <c r="N92" s="488"/>
      <c r="O92" s="515"/>
      <c r="P92" s="519"/>
      <c r="Q92" s="494"/>
      <c r="R92" s="381" t="s">
        <v>2728</v>
      </c>
      <c r="S92" s="382" t="s">
        <v>52</v>
      </c>
      <c r="T92" s="382" t="s">
        <v>52</v>
      </c>
      <c r="U92" s="398" t="s">
        <v>52</v>
      </c>
      <c r="V92" s="398" t="s">
        <v>52</v>
      </c>
      <c r="W92" s="398" t="s">
        <v>52</v>
      </c>
      <c r="X92" s="490"/>
      <c r="Y92" s="398" t="s">
        <v>52</v>
      </c>
      <c r="Z92" s="521"/>
      <c r="AA92" s="398" t="s">
        <v>52</v>
      </c>
      <c r="AB92" s="494"/>
      <c r="AC92" s="398" t="s">
        <v>52</v>
      </c>
      <c r="AD92" s="494"/>
      <c r="AE92" s="404" t="s">
        <v>52</v>
      </c>
      <c r="AF92" s="398" t="s">
        <v>52</v>
      </c>
      <c r="AG92" s="398" t="s">
        <v>52</v>
      </c>
      <c r="AH92" s="398" t="s">
        <v>52</v>
      </c>
      <c r="AI92" s="398" t="s">
        <v>52</v>
      </c>
      <c r="AJ92" s="485"/>
      <c r="AK92" s="485"/>
      <c r="AL92" s="485"/>
      <c r="AM92" s="485"/>
      <c r="AN92" s="485"/>
      <c r="AO92" s="485"/>
      <c r="AP92" s="381" t="s">
        <v>54</v>
      </c>
      <c r="AQ92" s="488"/>
      <c r="AR92" s="381" t="s">
        <v>54</v>
      </c>
      <c r="AS92" s="385" t="s">
        <v>54</v>
      </c>
      <c r="AT92" s="385" t="s">
        <v>54</v>
      </c>
      <c r="AU92" s="381" t="s">
        <v>54</v>
      </c>
      <c r="AV92" s="381" t="s">
        <v>54</v>
      </c>
      <c r="AW92" s="381" t="s">
        <v>54</v>
      </c>
      <c r="AX92" s="381" t="s">
        <v>54</v>
      </c>
      <c r="AY92" s="386" t="s">
        <v>54</v>
      </c>
      <c r="AZ92" s="392" t="s">
        <v>54</v>
      </c>
      <c r="BA92" s="490"/>
      <c r="BB92" s="392" t="s">
        <v>54</v>
      </c>
      <c r="BC92" s="490"/>
      <c r="BD92" s="392" t="s">
        <v>54</v>
      </c>
      <c r="BE92" s="392" t="s">
        <v>54</v>
      </c>
      <c r="BF92" s="392" t="s">
        <v>54</v>
      </c>
      <c r="BG92" s="381" t="s">
        <v>54</v>
      </c>
      <c r="BH92" s="381" t="s">
        <v>54</v>
      </c>
      <c r="BI92" s="381" t="s">
        <v>54</v>
      </c>
      <c r="BJ92" s="381" t="s">
        <v>54</v>
      </c>
      <c r="BK92" s="381" t="s">
        <v>54</v>
      </c>
      <c r="BL92" s="381" t="s">
        <v>54</v>
      </c>
      <c r="BM92" s="381" t="s">
        <v>54</v>
      </c>
      <c r="BN92" s="381" t="s">
        <v>54</v>
      </c>
      <c r="BO92" s="381" t="s">
        <v>54</v>
      </c>
      <c r="BP92" s="381" t="s">
        <v>54</v>
      </c>
      <c r="BQ92" s="381" t="s">
        <v>54</v>
      </c>
      <c r="BR92" s="381" t="s">
        <v>54</v>
      </c>
      <c r="BS92" s="381" t="s">
        <v>54</v>
      </c>
      <c r="BT92" s="381" t="s">
        <v>54</v>
      </c>
      <c r="BU92" s="381" t="s">
        <v>54</v>
      </c>
      <c r="BV92" s="381" t="s">
        <v>54</v>
      </c>
      <c r="BW92" s="381" t="s">
        <v>54</v>
      </c>
      <c r="BX92" s="381" t="s">
        <v>54</v>
      </c>
      <c r="BY92" s="381" t="s">
        <v>54</v>
      </c>
      <c r="BZ92" s="381" t="s">
        <v>54</v>
      </c>
      <c r="CA92" s="381" t="s">
        <v>54</v>
      </c>
      <c r="CB92" s="381" t="s">
        <v>54</v>
      </c>
      <c r="CC92" s="381" t="s">
        <v>54</v>
      </c>
      <c r="CD92" s="381" t="s">
        <v>54</v>
      </c>
      <c r="CE92" s="381" t="s">
        <v>54</v>
      </c>
      <c r="CF92" s="381" t="s">
        <v>54</v>
      </c>
      <c r="CG92" s="381" t="s">
        <v>54</v>
      </c>
      <c r="CH92" s="381" t="s">
        <v>54</v>
      </c>
      <c r="CI92" s="381" t="s">
        <v>54</v>
      </c>
      <c r="CJ92" s="381" t="s">
        <v>54</v>
      </c>
      <c r="CK92" s="381" t="s">
        <v>54</v>
      </c>
      <c r="CL92" s="381" t="s">
        <v>54</v>
      </c>
      <c r="CM92" s="500"/>
      <c r="CN92" s="500"/>
      <c r="CO92" s="494"/>
      <c r="CP92" s="494"/>
      <c r="CQ92" s="494"/>
      <c r="CR92" s="494"/>
      <c r="CS92" s="494"/>
      <c r="CT92" s="494"/>
      <c r="CU92" s="494"/>
      <c r="CV92" s="494"/>
      <c r="CW92" s="494"/>
      <c r="CX92" s="494"/>
      <c r="CY92" s="494"/>
      <c r="CZ92" s="494"/>
      <c r="DA92" s="494"/>
      <c r="DB92" s="494"/>
      <c r="DC92" s="494"/>
      <c r="DD92" s="494"/>
      <c r="DE92" s="494"/>
      <c r="DF92" s="494"/>
      <c r="DG92" s="566"/>
      <c r="DH92" s="566"/>
      <c r="DI92" s="566"/>
      <c r="DJ92" s="566"/>
      <c r="DK92" s="566"/>
      <c r="DL92" s="566"/>
      <c r="DM92" s="381" t="s">
        <v>54</v>
      </c>
      <c r="DN92" s="566"/>
      <c r="DO92" s="381" t="s">
        <v>54</v>
      </c>
      <c r="DP92" s="385" t="s">
        <v>54</v>
      </c>
      <c r="DQ92" s="385" t="s">
        <v>54</v>
      </c>
      <c r="DR92" s="381" t="s">
        <v>54</v>
      </c>
      <c r="DS92" s="381" t="s">
        <v>54</v>
      </c>
      <c r="DT92" s="381" t="s">
        <v>54</v>
      </c>
      <c r="DU92" s="381" t="s">
        <v>54</v>
      </c>
      <c r="DV92" s="381" t="s">
        <v>54</v>
      </c>
      <c r="DW92" s="381" t="s">
        <v>54</v>
      </c>
      <c r="DX92" s="566"/>
      <c r="DY92" s="405" t="s">
        <v>54</v>
      </c>
      <c r="DZ92" s="566"/>
      <c r="EA92" s="405" t="s">
        <v>54</v>
      </c>
      <c r="EB92" s="405" t="s">
        <v>54</v>
      </c>
      <c r="EC92" s="405" t="s">
        <v>54</v>
      </c>
      <c r="ED92" s="381" t="s">
        <v>54</v>
      </c>
      <c r="EE92" s="381" t="s">
        <v>54</v>
      </c>
      <c r="EF92" s="381" t="s">
        <v>54</v>
      </c>
      <c r="EG92" s="381" t="s">
        <v>54</v>
      </c>
      <c r="EH92" s="381" t="s">
        <v>54</v>
      </c>
      <c r="EI92" s="381" t="s">
        <v>54</v>
      </c>
      <c r="EJ92" s="381" t="s">
        <v>54</v>
      </c>
      <c r="EK92" s="381" t="s">
        <v>54</v>
      </c>
      <c r="EL92" s="381" t="s">
        <v>54</v>
      </c>
      <c r="EM92" s="381" t="s">
        <v>54</v>
      </c>
      <c r="EN92" s="381" t="s">
        <v>54</v>
      </c>
      <c r="EO92" s="381" t="s">
        <v>54</v>
      </c>
      <c r="EP92" s="381" t="s">
        <v>54</v>
      </c>
      <c r="EQ92" s="381" t="s">
        <v>54</v>
      </c>
      <c r="ER92" s="381" t="s">
        <v>54</v>
      </c>
      <c r="ES92" s="381" t="s">
        <v>54</v>
      </c>
      <c r="ET92" s="381" t="s">
        <v>54</v>
      </c>
      <c r="EU92" s="381" t="s">
        <v>54</v>
      </c>
    </row>
    <row r="93" spans="1:151" s="1" customFormat="1" ht="19.899999999999999" customHeight="1">
      <c r="A93" s="491">
        <v>9</v>
      </c>
      <c r="B93" s="491">
        <v>9</v>
      </c>
      <c r="C93" s="486" t="s">
        <v>2797</v>
      </c>
      <c r="D93" s="491" t="s">
        <v>3018</v>
      </c>
      <c r="E93" s="495" t="s">
        <v>2924</v>
      </c>
      <c r="F93" s="491" t="s">
        <v>2983</v>
      </c>
      <c r="G93" s="512" t="s">
        <v>3035</v>
      </c>
      <c r="H93" s="491" t="s">
        <v>2985</v>
      </c>
      <c r="I93" s="491" t="s">
        <v>2984</v>
      </c>
      <c r="J93" s="491" t="s">
        <v>52</v>
      </c>
      <c r="K93" s="516" t="s">
        <v>3124</v>
      </c>
      <c r="L93" s="495" t="s">
        <v>3133</v>
      </c>
      <c r="M93" s="491" t="s">
        <v>3019</v>
      </c>
      <c r="N93" s="486" t="s">
        <v>3133</v>
      </c>
      <c r="O93" s="512" t="s">
        <v>3036</v>
      </c>
      <c r="P93" s="517" t="s">
        <v>2902</v>
      </c>
      <c r="Q93" s="491">
        <v>1</v>
      </c>
      <c r="R93" s="403" t="s">
        <v>3136</v>
      </c>
      <c r="S93" s="381" t="s">
        <v>52</v>
      </c>
      <c r="T93" s="381" t="s">
        <v>52</v>
      </c>
      <c r="U93" s="381" t="s">
        <v>52</v>
      </c>
      <c r="V93" s="381" t="s">
        <v>52</v>
      </c>
      <c r="W93" s="381" t="s">
        <v>52</v>
      </c>
      <c r="X93" s="489">
        <v>30000</v>
      </c>
      <c r="Y93" s="381" t="s">
        <v>52</v>
      </c>
      <c r="Z93" s="520" t="s">
        <v>52</v>
      </c>
      <c r="AA93" s="381" t="s">
        <v>52</v>
      </c>
      <c r="AB93" s="491">
        <f>X93</f>
        <v>30000</v>
      </c>
      <c r="AC93" s="381" t="s">
        <v>52</v>
      </c>
      <c r="AD93" s="491" t="s">
        <v>52</v>
      </c>
      <c r="AE93" s="381" t="s">
        <v>52</v>
      </c>
      <c r="AF93" s="381" t="s">
        <v>52</v>
      </c>
      <c r="AG93" s="381" t="s">
        <v>52</v>
      </c>
      <c r="AH93" s="381" t="s">
        <v>52</v>
      </c>
      <c r="AI93" s="381" t="s">
        <v>52</v>
      </c>
      <c r="AJ93" s="483" t="s">
        <v>54</v>
      </c>
      <c r="AK93" s="483" t="s">
        <v>54</v>
      </c>
      <c r="AL93" s="483" t="s">
        <v>54</v>
      </c>
      <c r="AM93" s="483" t="s">
        <v>54</v>
      </c>
      <c r="AN93" s="483" t="s">
        <v>54</v>
      </c>
      <c r="AO93" s="483" t="s">
        <v>54</v>
      </c>
      <c r="AP93" s="381" t="s">
        <v>54</v>
      </c>
      <c r="AQ93" s="486" t="s">
        <v>54</v>
      </c>
      <c r="AR93" s="381" t="s">
        <v>54</v>
      </c>
      <c r="AS93" s="385" t="s">
        <v>54</v>
      </c>
      <c r="AT93" s="385" t="s">
        <v>54</v>
      </c>
      <c r="AU93" s="381" t="s">
        <v>54</v>
      </c>
      <c r="AV93" s="381" t="s">
        <v>54</v>
      </c>
      <c r="AW93" s="381" t="s">
        <v>54</v>
      </c>
      <c r="AX93" s="381" t="s">
        <v>54</v>
      </c>
      <c r="AY93" s="386" t="s">
        <v>54</v>
      </c>
      <c r="AZ93" s="397" t="s">
        <v>54</v>
      </c>
      <c r="BA93" s="489" t="s">
        <v>54</v>
      </c>
      <c r="BB93" s="397" t="s">
        <v>54</v>
      </c>
      <c r="BC93" s="489" t="s">
        <v>54</v>
      </c>
      <c r="BD93" s="397" t="s">
        <v>54</v>
      </c>
      <c r="BE93" s="397" t="s">
        <v>54</v>
      </c>
      <c r="BF93" s="397" t="s">
        <v>54</v>
      </c>
      <c r="BG93" s="381" t="s">
        <v>54</v>
      </c>
      <c r="BH93" s="381" t="s">
        <v>54</v>
      </c>
      <c r="BI93" s="381" t="s">
        <v>54</v>
      </c>
      <c r="BJ93" s="381" t="s">
        <v>54</v>
      </c>
      <c r="BK93" s="381" t="s">
        <v>54</v>
      </c>
      <c r="BL93" s="381" t="s">
        <v>54</v>
      </c>
      <c r="BM93" s="381" t="s">
        <v>54</v>
      </c>
      <c r="BN93" s="381" t="s">
        <v>54</v>
      </c>
      <c r="BO93" s="381" t="s">
        <v>54</v>
      </c>
      <c r="BP93" s="381" t="s">
        <v>54</v>
      </c>
      <c r="BQ93" s="381" t="s">
        <v>54</v>
      </c>
      <c r="BR93" s="381" t="s">
        <v>54</v>
      </c>
      <c r="BS93" s="381" t="s">
        <v>54</v>
      </c>
      <c r="BT93" s="381" t="s">
        <v>54</v>
      </c>
      <c r="BU93" s="383" t="s">
        <v>54</v>
      </c>
      <c r="BV93" s="381" t="s">
        <v>54</v>
      </c>
      <c r="BW93" s="381" t="s">
        <v>54</v>
      </c>
      <c r="BX93" s="381" t="s">
        <v>54</v>
      </c>
      <c r="BY93" s="381" t="s">
        <v>54</v>
      </c>
      <c r="BZ93" s="381" t="s">
        <v>54</v>
      </c>
      <c r="CA93" s="381" t="s">
        <v>54</v>
      </c>
      <c r="CB93" s="381" t="s">
        <v>54</v>
      </c>
      <c r="CC93" s="381" t="s">
        <v>54</v>
      </c>
      <c r="CD93" s="381" t="s">
        <v>54</v>
      </c>
      <c r="CE93" s="383" t="s">
        <v>54</v>
      </c>
      <c r="CF93" s="381" t="s">
        <v>54</v>
      </c>
      <c r="CG93" s="381" t="s">
        <v>54</v>
      </c>
      <c r="CH93" s="381" t="s">
        <v>54</v>
      </c>
      <c r="CI93" s="383" t="s">
        <v>54</v>
      </c>
      <c r="CJ93" s="381" t="s">
        <v>54</v>
      </c>
      <c r="CK93" s="381" t="s">
        <v>54</v>
      </c>
      <c r="CL93" s="381" t="s">
        <v>54</v>
      </c>
      <c r="CM93" s="483" t="s">
        <v>54</v>
      </c>
      <c r="CN93" s="483" t="s">
        <v>54</v>
      </c>
      <c r="CO93" s="491" t="s">
        <v>54</v>
      </c>
      <c r="CP93" s="491" t="s">
        <v>54</v>
      </c>
      <c r="CQ93" s="491" t="s">
        <v>54</v>
      </c>
      <c r="CR93" s="491" t="s">
        <v>54</v>
      </c>
      <c r="CS93" s="491" t="s">
        <v>54</v>
      </c>
      <c r="CT93" s="491" t="s">
        <v>2026</v>
      </c>
      <c r="CU93" s="491">
        <v>2016</v>
      </c>
      <c r="CV93" s="491" t="s">
        <v>2864</v>
      </c>
      <c r="CW93" s="491" t="s">
        <v>1975</v>
      </c>
      <c r="CX93" s="491" t="s">
        <v>54</v>
      </c>
      <c r="CY93" s="491" t="s">
        <v>54</v>
      </c>
      <c r="CZ93" s="491" t="s">
        <v>54</v>
      </c>
      <c r="DA93" s="491" t="s">
        <v>54</v>
      </c>
      <c r="DB93" s="491" t="s">
        <v>54</v>
      </c>
      <c r="DC93" s="491" t="s">
        <v>2986</v>
      </c>
      <c r="DD93" s="491" t="s">
        <v>3098</v>
      </c>
      <c r="DE93" s="491" t="s">
        <v>2987</v>
      </c>
      <c r="DF93" s="491" t="s">
        <v>52</v>
      </c>
      <c r="DG93" s="495" t="s">
        <v>54</v>
      </c>
      <c r="DH93" s="495" t="s">
        <v>54</v>
      </c>
      <c r="DI93" s="495" t="s">
        <v>54</v>
      </c>
      <c r="DJ93" s="495" t="s">
        <v>54</v>
      </c>
      <c r="DK93" s="495" t="s">
        <v>54</v>
      </c>
      <c r="DL93" s="495" t="s">
        <v>54</v>
      </c>
      <c r="DM93" s="382" t="s">
        <v>54</v>
      </c>
      <c r="DN93" s="536" t="s">
        <v>54</v>
      </c>
      <c r="DO93" s="381" t="s">
        <v>54</v>
      </c>
      <c r="DP93" s="385" t="s">
        <v>54</v>
      </c>
      <c r="DQ93" s="385" t="s">
        <v>54</v>
      </c>
      <c r="DR93" s="381" t="s">
        <v>54</v>
      </c>
      <c r="DS93" s="381" t="s">
        <v>54</v>
      </c>
      <c r="DT93" s="381" t="s">
        <v>54</v>
      </c>
      <c r="DU93" s="381" t="s">
        <v>54</v>
      </c>
      <c r="DV93" s="381" t="s">
        <v>54</v>
      </c>
      <c r="DW93" s="381" t="s">
        <v>54</v>
      </c>
      <c r="DX93" s="536" t="s">
        <v>54</v>
      </c>
      <c r="DY93" s="405" t="s">
        <v>54</v>
      </c>
      <c r="DZ93" s="536" t="s">
        <v>54</v>
      </c>
      <c r="EA93" s="405" t="s">
        <v>54</v>
      </c>
      <c r="EB93" s="405" t="s">
        <v>54</v>
      </c>
      <c r="EC93" s="405" t="s">
        <v>54</v>
      </c>
      <c r="ED93" s="381" t="s">
        <v>54</v>
      </c>
      <c r="EE93" s="381" t="s">
        <v>54</v>
      </c>
      <c r="EF93" s="381" t="s">
        <v>54</v>
      </c>
      <c r="EG93" s="381" t="s">
        <v>54</v>
      </c>
      <c r="EH93" s="381" t="s">
        <v>54</v>
      </c>
      <c r="EI93" s="381" t="s">
        <v>54</v>
      </c>
      <c r="EJ93" s="381" t="s">
        <v>54</v>
      </c>
      <c r="EK93" s="381" t="s">
        <v>54</v>
      </c>
      <c r="EL93" s="381" t="s">
        <v>54</v>
      </c>
      <c r="EM93" s="381" t="s">
        <v>54</v>
      </c>
      <c r="EN93" s="381" t="s">
        <v>54</v>
      </c>
      <c r="EO93" s="381" t="s">
        <v>54</v>
      </c>
      <c r="EP93" s="381" t="s">
        <v>54</v>
      </c>
      <c r="EQ93" s="381" t="s">
        <v>54</v>
      </c>
      <c r="ER93" s="381" t="s">
        <v>54</v>
      </c>
      <c r="ES93" s="381" t="s">
        <v>54</v>
      </c>
      <c r="ET93" s="381" t="s">
        <v>54</v>
      </c>
      <c r="EU93" s="381" t="s">
        <v>54</v>
      </c>
    </row>
    <row r="94" spans="1:151" s="1" customFormat="1" ht="19.899999999999999" customHeight="1">
      <c r="A94" s="492"/>
      <c r="B94" s="492"/>
      <c r="C94" s="487"/>
      <c r="D94" s="509"/>
      <c r="E94" s="506"/>
      <c r="F94" s="509"/>
      <c r="G94" s="513"/>
      <c r="H94" s="509"/>
      <c r="I94" s="509"/>
      <c r="J94" s="509"/>
      <c r="K94" s="492"/>
      <c r="L94" s="496"/>
      <c r="M94" s="492"/>
      <c r="N94" s="487"/>
      <c r="O94" s="513"/>
      <c r="P94" s="518"/>
      <c r="Q94" s="492"/>
      <c r="R94" s="381" t="s">
        <v>54</v>
      </c>
      <c r="S94" s="381" t="s">
        <v>54</v>
      </c>
      <c r="T94" s="381" t="s">
        <v>54</v>
      </c>
      <c r="U94" s="381" t="s">
        <v>54</v>
      </c>
      <c r="V94" s="381" t="s">
        <v>54</v>
      </c>
      <c r="W94" s="381" t="s">
        <v>54</v>
      </c>
      <c r="X94" s="490"/>
      <c r="Y94" s="381" t="s">
        <v>54</v>
      </c>
      <c r="Z94" s="521"/>
      <c r="AA94" s="381" t="s">
        <v>54</v>
      </c>
      <c r="AB94" s="492"/>
      <c r="AC94" s="381" t="s">
        <v>54</v>
      </c>
      <c r="AD94" s="492"/>
      <c r="AE94" s="381" t="s">
        <v>54</v>
      </c>
      <c r="AF94" s="381" t="s">
        <v>54</v>
      </c>
      <c r="AG94" s="381" t="s">
        <v>54</v>
      </c>
      <c r="AH94" s="381" t="s">
        <v>54</v>
      </c>
      <c r="AI94" s="381" t="s">
        <v>54</v>
      </c>
      <c r="AJ94" s="484"/>
      <c r="AK94" s="484"/>
      <c r="AL94" s="484"/>
      <c r="AM94" s="484"/>
      <c r="AN94" s="484"/>
      <c r="AO94" s="484"/>
      <c r="AP94" s="381" t="s">
        <v>54</v>
      </c>
      <c r="AQ94" s="487"/>
      <c r="AR94" s="381" t="s">
        <v>54</v>
      </c>
      <c r="AS94" s="385" t="s">
        <v>54</v>
      </c>
      <c r="AT94" s="385" t="s">
        <v>54</v>
      </c>
      <c r="AU94" s="381" t="s">
        <v>54</v>
      </c>
      <c r="AV94" s="381" t="s">
        <v>54</v>
      </c>
      <c r="AW94" s="381" t="s">
        <v>54</v>
      </c>
      <c r="AX94" s="381" t="s">
        <v>54</v>
      </c>
      <c r="AY94" s="386" t="s">
        <v>54</v>
      </c>
      <c r="AZ94" s="397" t="s">
        <v>54</v>
      </c>
      <c r="BA94" s="490"/>
      <c r="BB94" s="397" t="s">
        <v>54</v>
      </c>
      <c r="BC94" s="490"/>
      <c r="BD94" s="397" t="s">
        <v>54</v>
      </c>
      <c r="BE94" s="397" t="s">
        <v>54</v>
      </c>
      <c r="BF94" s="397" t="s">
        <v>54</v>
      </c>
      <c r="BG94" s="381" t="s">
        <v>54</v>
      </c>
      <c r="BH94" s="381" t="s">
        <v>54</v>
      </c>
      <c r="BI94" s="381" t="s">
        <v>54</v>
      </c>
      <c r="BJ94" s="381" t="s">
        <v>54</v>
      </c>
      <c r="BK94" s="381" t="s">
        <v>54</v>
      </c>
      <c r="BL94" s="381" t="s">
        <v>54</v>
      </c>
      <c r="BM94" s="381" t="s">
        <v>54</v>
      </c>
      <c r="BN94" s="381" t="s">
        <v>54</v>
      </c>
      <c r="BO94" s="381" t="s">
        <v>54</v>
      </c>
      <c r="BP94" s="381" t="s">
        <v>54</v>
      </c>
      <c r="BQ94" s="381" t="s">
        <v>54</v>
      </c>
      <c r="BR94" s="381" t="s">
        <v>54</v>
      </c>
      <c r="BS94" s="381" t="s">
        <v>54</v>
      </c>
      <c r="BT94" s="381" t="s">
        <v>54</v>
      </c>
      <c r="BU94" s="383" t="s">
        <v>54</v>
      </c>
      <c r="BV94" s="381" t="s">
        <v>54</v>
      </c>
      <c r="BW94" s="381" t="s">
        <v>54</v>
      </c>
      <c r="BX94" s="381" t="s">
        <v>54</v>
      </c>
      <c r="BY94" s="381" t="s">
        <v>54</v>
      </c>
      <c r="BZ94" s="381" t="s">
        <v>54</v>
      </c>
      <c r="CA94" s="381" t="s">
        <v>54</v>
      </c>
      <c r="CB94" s="381" t="s">
        <v>54</v>
      </c>
      <c r="CC94" s="381" t="s">
        <v>54</v>
      </c>
      <c r="CD94" s="381" t="s">
        <v>54</v>
      </c>
      <c r="CE94" s="383" t="s">
        <v>54</v>
      </c>
      <c r="CF94" s="381" t="s">
        <v>54</v>
      </c>
      <c r="CG94" s="381" t="s">
        <v>54</v>
      </c>
      <c r="CH94" s="381" t="s">
        <v>54</v>
      </c>
      <c r="CI94" s="383" t="s">
        <v>54</v>
      </c>
      <c r="CJ94" s="381" t="s">
        <v>54</v>
      </c>
      <c r="CK94" s="381" t="s">
        <v>54</v>
      </c>
      <c r="CL94" s="381" t="s">
        <v>54</v>
      </c>
      <c r="CM94" s="499"/>
      <c r="CN94" s="499"/>
      <c r="CO94" s="492"/>
      <c r="CP94" s="492"/>
      <c r="CQ94" s="492"/>
      <c r="CR94" s="492"/>
      <c r="CS94" s="492"/>
      <c r="CT94" s="492"/>
      <c r="CU94" s="492"/>
      <c r="CV94" s="492"/>
      <c r="CW94" s="492"/>
      <c r="CX94" s="492"/>
      <c r="CY94" s="492"/>
      <c r="CZ94" s="492"/>
      <c r="DA94" s="492"/>
      <c r="DB94" s="492"/>
      <c r="DC94" s="492"/>
      <c r="DD94" s="492"/>
      <c r="DE94" s="492"/>
      <c r="DF94" s="492"/>
      <c r="DG94" s="496"/>
      <c r="DH94" s="496"/>
      <c r="DI94" s="496"/>
      <c r="DJ94" s="496"/>
      <c r="DK94" s="496"/>
      <c r="DL94" s="496"/>
      <c r="DM94" s="382" t="s">
        <v>54</v>
      </c>
      <c r="DN94" s="537"/>
      <c r="DO94" s="381" t="s">
        <v>54</v>
      </c>
      <c r="DP94" s="385" t="s">
        <v>54</v>
      </c>
      <c r="DQ94" s="385" t="s">
        <v>54</v>
      </c>
      <c r="DR94" s="381" t="s">
        <v>54</v>
      </c>
      <c r="DS94" s="381" t="s">
        <v>54</v>
      </c>
      <c r="DT94" s="381" t="s">
        <v>54</v>
      </c>
      <c r="DU94" s="381" t="s">
        <v>54</v>
      </c>
      <c r="DV94" s="381" t="s">
        <v>54</v>
      </c>
      <c r="DW94" s="381" t="s">
        <v>54</v>
      </c>
      <c r="DX94" s="537"/>
      <c r="DY94" s="405" t="s">
        <v>54</v>
      </c>
      <c r="DZ94" s="537"/>
      <c r="EA94" s="405" t="s">
        <v>54</v>
      </c>
      <c r="EB94" s="405" t="s">
        <v>54</v>
      </c>
      <c r="EC94" s="405" t="s">
        <v>54</v>
      </c>
      <c r="ED94" s="381" t="s">
        <v>54</v>
      </c>
      <c r="EE94" s="381" t="s">
        <v>54</v>
      </c>
      <c r="EF94" s="381" t="s">
        <v>54</v>
      </c>
      <c r="EG94" s="381" t="s">
        <v>54</v>
      </c>
      <c r="EH94" s="381" t="s">
        <v>54</v>
      </c>
      <c r="EI94" s="381" t="s">
        <v>54</v>
      </c>
      <c r="EJ94" s="381" t="s">
        <v>54</v>
      </c>
      <c r="EK94" s="381" t="s">
        <v>54</v>
      </c>
      <c r="EL94" s="381" t="s">
        <v>54</v>
      </c>
      <c r="EM94" s="381" t="s">
        <v>54</v>
      </c>
      <c r="EN94" s="381" t="s">
        <v>54</v>
      </c>
      <c r="EO94" s="381" t="s">
        <v>54</v>
      </c>
      <c r="EP94" s="381" t="s">
        <v>54</v>
      </c>
      <c r="EQ94" s="381" t="s">
        <v>54</v>
      </c>
      <c r="ER94" s="381" t="s">
        <v>54</v>
      </c>
      <c r="ES94" s="381" t="s">
        <v>54</v>
      </c>
      <c r="ET94" s="381" t="s">
        <v>54</v>
      </c>
      <c r="EU94" s="381" t="s">
        <v>54</v>
      </c>
    </row>
    <row r="95" spans="1:151" s="1" customFormat="1" ht="19.899999999999999" customHeight="1">
      <c r="A95" s="493"/>
      <c r="B95" s="493"/>
      <c r="C95" s="487"/>
      <c r="D95" s="510"/>
      <c r="E95" s="507"/>
      <c r="F95" s="510"/>
      <c r="G95" s="514"/>
      <c r="H95" s="510"/>
      <c r="I95" s="510"/>
      <c r="J95" s="510"/>
      <c r="K95" s="493"/>
      <c r="L95" s="497"/>
      <c r="M95" s="493"/>
      <c r="N95" s="487"/>
      <c r="O95" s="514"/>
      <c r="P95" s="518"/>
      <c r="Q95" s="493"/>
      <c r="R95" s="381" t="s">
        <v>54</v>
      </c>
      <c r="S95" s="381" t="s">
        <v>54</v>
      </c>
      <c r="T95" s="381" t="s">
        <v>54</v>
      </c>
      <c r="U95" s="381" t="s">
        <v>54</v>
      </c>
      <c r="V95" s="381" t="s">
        <v>54</v>
      </c>
      <c r="W95" s="381" t="s">
        <v>54</v>
      </c>
      <c r="X95" s="490"/>
      <c r="Y95" s="381" t="s">
        <v>54</v>
      </c>
      <c r="Z95" s="521"/>
      <c r="AA95" s="381" t="s">
        <v>54</v>
      </c>
      <c r="AB95" s="493"/>
      <c r="AC95" s="381" t="s">
        <v>54</v>
      </c>
      <c r="AD95" s="493"/>
      <c r="AE95" s="381" t="s">
        <v>54</v>
      </c>
      <c r="AF95" s="381" t="s">
        <v>54</v>
      </c>
      <c r="AG95" s="381" t="s">
        <v>54</v>
      </c>
      <c r="AH95" s="381" t="s">
        <v>54</v>
      </c>
      <c r="AI95" s="381" t="s">
        <v>54</v>
      </c>
      <c r="AJ95" s="484"/>
      <c r="AK95" s="484"/>
      <c r="AL95" s="484"/>
      <c r="AM95" s="484"/>
      <c r="AN95" s="484"/>
      <c r="AO95" s="484"/>
      <c r="AP95" s="381" t="s">
        <v>54</v>
      </c>
      <c r="AQ95" s="487"/>
      <c r="AR95" s="381" t="s">
        <v>54</v>
      </c>
      <c r="AS95" s="385" t="s">
        <v>54</v>
      </c>
      <c r="AT95" s="385" t="s">
        <v>54</v>
      </c>
      <c r="AU95" s="381" t="s">
        <v>54</v>
      </c>
      <c r="AV95" s="381" t="s">
        <v>54</v>
      </c>
      <c r="AW95" s="381" t="s">
        <v>54</v>
      </c>
      <c r="AX95" s="381" t="s">
        <v>54</v>
      </c>
      <c r="AY95" s="386" t="s">
        <v>54</v>
      </c>
      <c r="AZ95" s="397" t="s">
        <v>54</v>
      </c>
      <c r="BA95" s="490"/>
      <c r="BB95" s="397" t="s">
        <v>54</v>
      </c>
      <c r="BC95" s="490"/>
      <c r="BD95" s="397" t="s">
        <v>54</v>
      </c>
      <c r="BE95" s="397" t="s">
        <v>54</v>
      </c>
      <c r="BF95" s="397" t="s">
        <v>54</v>
      </c>
      <c r="BG95" s="381" t="s">
        <v>54</v>
      </c>
      <c r="BH95" s="381" t="s">
        <v>54</v>
      </c>
      <c r="BI95" s="381" t="s">
        <v>54</v>
      </c>
      <c r="BJ95" s="381" t="s">
        <v>54</v>
      </c>
      <c r="BK95" s="381" t="s">
        <v>54</v>
      </c>
      <c r="BL95" s="381" t="s">
        <v>54</v>
      </c>
      <c r="BM95" s="381" t="s">
        <v>54</v>
      </c>
      <c r="BN95" s="381" t="s">
        <v>54</v>
      </c>
      <c r="BO95" s="381" t="s">
        <v>54</v>
      </c>
      <c r="BP95" s="381" t="s">
        <v>54</v>
      </c>
      <c r="BQ95" s="381" t="s">
        <v>54</v>
      </c>
      <c r="BR95" s="381" t="s">
        <v>54</v>
      </c>
      <c r="BS95" s="381" t="s">
        <v>54</v>
      </c>
      <c r="BT95" s="381" t="s">
        <v>54</v>
      </c>
      <c r="BU95" s="383" t="s">
        <v>54</v>
      </c>
      <c r="BV95" s="381" t="s">
        <v>54</v>
      </c>
      <c r="BW95" s="381" t="s">
        <v>54</v>
      </c>
      <c r="BX95" s="381" t="s">
        <v>54</v>
      </c>
      <c r="BY95" s="381" t="s">
        <v>54</v>
      </c>
      <c r="BZ95" s="381" t="s">
        <v>54</v>
      </c>
      <c r="CA95" s="381" t="s">
        <v>54</v>
      </c>
      <c r="CB95" s="381" t="s">
        <v>54</v>
      </c>
      <c r="CC95" s="381" t="s">
        <v>54</v>
      </c>
      <c r="CD95" s="381" t="s">
        <v>54</v>
      </c>
      <c r="CE95" s="383" t="s">
        <v>54</v>
      </c>
      <c r="CF95" s="381" t="s">
        <v>54</v>
      </c>
      <c r="CG95" s="381" t="s">
        <v>54</v>
      </c>
      <c r="CH95" s="381" t="s">
        <v>54</v>
      </c>
      <c r="CI95" s="383" t="s">
        <v>54</v>
      </c>
      <c r="CJ95" s="381" t="s">
        <v>54</v>
      </c>
      <c r="CK95" s="381" t="s">
        <v>54</v>
      </c>
      <c r="CL95" s="381" t="s">
        <v>54</v>
      </c>
      <c r="CM95" s="499"/>
      <c r="CN95" s="499"/>
      <c r="CO95" s="493"/>
      <c r="CP95" s="493"/>
      <c r="CQ95" s="493"/>
      <c r="CR95" s="493"/>
      <c r="CS95" s="493"/>
      <c r="CT95" s="493"/>
      <c r="CU95" s="493"/>
      <c r="CV95" s="493"/>
      <c r="CW95" s="493"/>
      <c r="CX95" s="493"/>
      <c r="CY95" s="493"/>
      <c r="CZ95" s="493"/>
      <c r="DA95" s="493"/>
      <c r="DB95" s="493"/>
      <c r="DC95" s="493"/>
      <c r="DD95" s="493"/>
      <c r="DE95" s="493"/>
      <c r="DF95" s="493"/>
      <c r="DG95" s="497"/>
      <c r="DH95" s="497"/>
      <c r="DI95" s="497"/>
      <c r="DJ95" s="497"/>
      <c r="DK95" s="497"/>
      <c r="DL95" s="497"/>
      <c r="DM95" s="382" t="s">
        <v>54</v>
      </c>
      <c r="DN95" s="537"/>
      <c r="DO95" s="381" t="s">
        <v>54</v>
      </c>
      <c r="DP95" s="385" t="s">
        <v>54</v>
      </c>
      <c r="DQ95" s="385" t="s">
        <v>54</v>
      </c>
      <c r="DR95" s="381" t="s">
        <v>54</v>
      </c>
      <c r="DS95" s="381" t="s">
        <v>54</v>
      </c>
      <c r="DT95" s="381" t="s">
        <v>54</v>
      </c>
      <c r="DU95" s="381" t="s">
        <v>54</v>
      </c>
      <c r="DV95" s="381" t="s">
        <v>54</v>
      </c>
      <c r="DW95" s="381" t="s">
        <v>54</v>
      </c>
      <c r="DX95" s="537"/>
      <c r="DY95" s="405" t="s">
        <v>54</v>
      </c>
      <c r="DZ95" s="537"/>
      <c r="EA95" s="405" t="s">
        <v>54</v>
      </c>
      <c r="EB95" s="405" t="s">
        <v>54</v>
      </c>
      <c r="EC95" s="405" t="s">
        <v>54</v>
      </c>
      <c r="ED95" s="381" t="s">
        <v>54</v>
      </c>
      <c r="EE95" s="381" t="s">
        <v>54</v>
      </c>
      <c r="EF95" s="381" t="s">
        <v>54</v>
      </c>
      <c r="EG95" s="381" t="s">
        <v>54</v>
      </c>
      <c r="EH95" s="381" t="s">
        <v>54</v>
      </c>
      <c r="EI95" s="381" t="s">
        <v>54</v>
      </c>
      <c r="EJ95" s="381" t="s">
        <v>54</v>
      </c>
      <c r="EK95" s="381" t="s">
        <v>54</v>
      </c>
      <c r="EL95" s="381" t="s">
        <v>54</v>
      </c>
      <c r="EM95" s="381" t="s">
        <v>54</v>
      </c>
      <c r="EN95" s="381" t="s">
        <v>54</v>
      </c>
      <c r="EO95" s="381" t="s">
        <v>54</v>
      </c>
      <c r="EP95" s="381" t="s">
        <v>54</v>
      </c>
      <c r="EQ95" s="381" t="s">
        <v>54</v>
      </c>
      <c r="ER95" s="381" t="s">
        <v>54</v>
      </c>
      <c r="ES95" s="381" t="s">
        <v>54</v>
      </c>
      <c r="ET95" s="381" t="s">
        <v>54</v>
      </c>
      <c r="EU95" s="381" t="s">
        <v>54</v>
      </c>
    </row>
    <row r="96" spans="1:151" s="1" customFormat="1" ht="19.899999999999999" customHeight="1">
      <c r="A96" s="494"/>
      <c r="B96" s="494"/>
      <c r="C96" s="488"/>
      <c r="D96" s="511"/>
      <c r="E96" s="508"/>
      <c r="F96" s="511"/>
      <c r="G96" s="515"/>
      <c r="H96" s="511"/>
      <c r="I96" s="511"/>
      <c r="J96" s="511"/>
      <c r="K96" s="494"/>
      <c r="L96" s="498"/>
      <c r="M96" s="494"/>
      <c r="N96" s="488"/>
      <c r="O96" s="515"/>
      <c r="P96" s="519"/>
      <c r="Q96" s="494"/>
      <c r="R96" s="381" t="s">
        <v>54</v>
      </c>
      <c r="S96" s="381" t="s">
        <v>54</v>
      </c>
      <c r="T96" s="381" t="s">
        <v>54</v>
      </c>
      <c r="U96" s="381" t="s">
        <v>54</v>
      </c>
      <c r="V96" s="381" t="s">
        <v>54</v>
      </c>
      <c r="W96" s="381" t="s">
        <v>54</v>
      </c>
      <c r="X96" s="490"/>
      <c r="Y96" s="381" t="s">
        <v>54</v>
      </c>
      <c r="Z96" s="521"/>
      <c r="AA96" s="381" t="s">
        <v>54</v>
      </c>
      <c r="AB96" s="494"/>
      <c r="AC96" s="381" t="s">
        <v>54</v>
      </c>
      <c r="AD96" s="494"/>
      <c r="AE96" s="381" t="s">
        <v>54</v>
      </c>
      <c r="AF96" s="381" t="s">
        <v>54</v>
      </c>
      <c r="AG96" s="381" t="s">
        <v>54</v>
      </c>
      <c r="AH96" s="381" t="s">
        <v>54</v>
      </c>
      <c r="AI96" s="381" t="s">
        <v>54</v>
      </c>
      <c r="AJ96" s="485"/>
      <c r="AK96" s="485"/>
      <c r="AL96" s="485"/>
      <c r="AM96" s="485"/>
      <c r="AN96" s="485"/>
      <c r="AO96" s="485"/>
      <c r="AP96" s="381" t="s">
        <v>54</v>
      </c>
      <c r="AQ96" s="488"/>
      <c r="AR96" s="381" t="s">
        <v>54</v>
      </c>
      <c r="AS96" s="385" t="s">
        <v>54</v>
      </c>
      <c r="AT96" s="385" t="s">
        <v>54</v>
      </c>
      <c r="AU96" s="381" t="s">
        <v>54</v>
      </c>
      <c r="AV96" s="381" t="s">
        <v>54</v>
      </c>
      <c r="AW96" s="381" t="s">
        <v>54</v>
      </c>
      <c r="AX96" s="381" t="s">
        <v>54</v>
      </c>
      <c r="AY96" s="386" t="s">
        <v>54</v>
      </c>
      <c r="AZ96" s="397" t="s">
        <v>54</v>
      </c>
      <c r="BA96" s="490"/>
      <c r="BB96" s="397" t="s">
        <v>54</v>
      </c>
      <c r="BC96" s="490"/>
      <c r="BD96" s="397" t="s">
        <v>54</v>
      </c>
      <c r="BE96" s="397" t="s">
        <v>54</v>
      </c>
      <c r="BF96" s="397" t="s">
        <v>54</v>
      </c>
      <c r="BG96" s="381" t="s">
        <v>54</v>
      </c>
      <c r="BH96" s="381" t="s">
        <v>54</v>
      </c>
      <c r="BI96" s="381" t="s">
        <v>54</v>
      </c>
      <c r="BJ96" s="381" t="s">
        <v>54</v>
      </c>
      <c r="BK96" s="381" t="s">
        <v>54</v>
      </c>
      <c r="BL96" s="381" t="s">
        <v>54</v>
      </c>
      <c r="BM96" s="381" t="s">
        <v>54</v>
      </c>
      <c r="BN96" s="381" t="s">
        <v>54</v>
      </c>
      <c r="BO96" s="381" t="s">
        <v>54</v>
      </c>
      <c r="BP96" s="381" t="s">
        <v>54</v>
      </c>
      <c r="BQ96" s="381" t="s">
        <v>54</v>
      </c>
      <c r="BR96" s="381" t="s">
        <v>54</v>
      </c>
      <c r="BS96" s="381" t="s">
        <v>54</v>
      </c>
      <c r="BT96" s="381" t="s">
        <v>54</v>
      </c>
      <c r="BU96" s="383" t="s">
        <v>54</v>
      </c>
      <c r="BV96" s="381" t="s">
        <v>54</v>
      </c>
      <c r="BW96" s="381" t="s">
        <v>54</v>
      </c>
      <c r="BX96" s="381" t="s">
        <v>54</v>
      </c>
      <c r="BY96" s="381" t="s">
        <v>54</v>
      </c>
      <c r="BZ96" s="381" t="s">
        <v>54</v>
      </c>
      <c r="CA96" s="381" t="s">
        <v>54</v>
      </c>
      <c r="CB96" s="381" t="s">
        <v>54</v>
      </c>
      <c r="CC96" s="381" t="s">
        <v>54</v>
      </c>
      <c r="CD96" s="381" t="s">
        <v>54</v>
      </c>
      <c r="CE96" s="383" t="s">
        <v>54</v>
      </c>
      <c r="CF96" s="381" t="s">
        <v>54</v>
      </c>
      <c r="CG96" s="381" t="s">
        <v>54</v>
      </c>
      <c r="CH96" s="381" t="s">
        <v>54</v>
      </c>
      <c r="CI96" s="383" t="s">
        <v>54</v>
      </c>
      <c r="CJ96" s="381" t="s">
        <v>54</v>
      </c>
      <c r="CK96" s="381" t="s">
        <v>54</v>
      </c>
      <c r="CL96" s="381" t="s">
        <v>54</v>
      </c>
      <c r="CM96" s="500"/>
      <c r="CN96" s="500"/>
      <c r="CO96" s="494"/>
      <c r="CP96" s="494"/>
      <c r="CQ96" s="494"/>
      <c r="CR96" s="494"/>
      <c r="CS96" s="494"/>
      <c r="CT96" s="494"/>
      <c r="CU96" s="494"/>
      <c r="CV96" s="494"/>
      <c r="CW96" s="494"/>
      <c r="CX96" s="494"/>
      <c r="CY96" s="494"/>
      <c r="CZ96" s="494"/>
      <c r="DA96" s="494"/>
      <c r="DB96" s="494"/>
      <c r="DC96" s="494"/>
      <c r="DD96" s="494"/>
      <c r="DE96" s="494"/>
      <c r="DF96" s="494"/>
      <c r="DG96" s="498"/>
      <c r="DH96" s="498"/>
      <c r="DI96" s="498"/>
      <c r="DJ96" s="498"/>
      <c r="DK96" s="498"/>
      <c r="DL96" s="498"/>
      <c r="DM96" s="382" t="s">
        <v>54</v>
      </c>
      <c r="DN96" s="537"/>
      <c r="DO96" s="381" t="s">
        <v>54</v>
      </c>
      <c r="DP96" s="385" t="s">
        <v>54</v>
      </c>
      <c r="DQ96" s="385" t="s">
        <v>54</v>
      </c>
      <c r="DR96" s="381" t="s">
        <v>54</v>
      </c>
      <c r="DS96" s="381" t="s">
        <v>54</v>
      </c>
      <c r="DT96" s="381" t="s">
        <v>54</v>
      </c>
      <c r="DU96" s="381" t="s">
        <v>54</v>
      </c>
      <c r="DV96" s="381" t="s">
        <v>54</v>
      </c>
      <c r="DW96" s="381" t="s">
        <v>54</v>
      </c>
      <c r="DX96" s="537"/>
      <c r="DY96" s="405" t="s">
        <v>54</v>
      </c>
      <c r="DZ96" s="537"/>
      <c r="EA96" s="405" t="s">
        <v>54</v>
      </c>
      <c r="EB96" s="405" t="s">
        <v>54</v>
      </c>
      <c r="EC96" s="405" t="s">
        <v>54</v>
      </c>
      <c r="ED96" s="381" t="s">
        <v>54</v>
      </c>
      <c r="EE96" s="381" t="s">
        <v>54</v>
      </c>
      <c r="EF96" s="381" t="s">
        <v>54</v>
      </c>
      <c r="EG96" s="381" t="s">
        <v>54</v>
      </c>
      <c r="EH96" s="381" t="s">
        <v>54</v>
      </c>
      <c r="EI96" s="381" t="s">
        <v>54</v>
      </c>
      <c r="EJ96" s="381" t="s">
        <v>54</v>
      </c>
      <c r="EK96" s="381" t="s">
        <v>54</v>
      </c>
      <c r="EL96" s="381" t="s">
        <v>54</v>
      </c>
      <c r="EM96" s="381" t="s">
        <v>54</v>
      </c>
      <c r="EN96" s="381" t="s">
        <v>54</v>
      </c>
      <c r="EO96" s="381" t="s">
        <v>54</v>
      </c>
      <c r="EP96" s="381" t="s">
        <v>54</v>
      </c>
      <c r="EQ96" s="381" t="s">
        <v>54</v>
      </c>
      <c r="ER96" s="381" t="s">
        <v>54</v>
      </c>
      <c r="ES96" s="381" t="s">
        <v>54</v>
      </c>
      <c r="ET96" s="381" t="s">
        <v>54</v>
      </c>
      <c r="EU96" s="381" t="s">
        <v>54</v>
      </c>
    </row>
    <row r="97" spans="1:151" s="1" customFormat="1" ht="19.899999999999999" customHeight="1">
      <c r="A97" s="491">
        <v>10</v>
      </c>
      <c r="B97" s="491">
        <v>10</v>
      </c>
      <c r="C97" s="486" t="s">
        <v>2797</v>
      </c>
      <c r="D97" s="491" t="s">
        <v>3020</v>
      </c>
      <c r="E97" s="495" t="s">
        <v>2924</v>
      </c>
      <c r="F97" s="491" t="s">
        <v>3052</v>
      </c>
      <c r="G97" s="512" t="s">
        <v>3037</v>
      </c>
      <c r="H97" s="491" t="s">
        <v>2991</v>
      </c>
      <c r="I97" s="491" t="s">
        <v>3053</v>
      </c>
      <c r="J97" s="491" t="s">
        <v>52</v>
      </c>
      <c r="K97" s="516" t="s">
        <v>3125</v>
      </c>
      <c r="L97" s="495" t="s">
        <v>3133</v>
      </c>
      <c r="M97" s="491" t="s">
        <v>3021</v>
      </c>
      <c r="N97" s="486" t="s">
        <v>3133</v>
      </c>
      <c r="O97" s="512" t="s">
        <v>3038</v>
      </c>
      <c r="P97" s="517" t="s">
        <v>2902</v>
      </c>
      <c r="Q97" s="491">
        <v>1</v>
      </c>
      <c r="R97" s="403" t="s">
        <v>3136</v>
      </c>
      <c r="S97" s="381" t="s">
        <v>52</v>
      </c>
      <c r="T97" s="381" t="s">
        <v>52</v>
      </c>
      <c r="U97" s="381" t="s">
        <v>52</v>
      </c>
      <c r="V97" s="381" t="s">
        <v>52</v>
      </c>
      <c r="W97" s="381" t="s">
        <v>52</v>
      </c>
      <c r="X97" s="489" t="s">
        <v>52</v>
      </c>
      <c r="Y97" s="381" t="s">
        <v>52</v>
      </c>
      <c r="Z97" s="520" t="s">
        <v>52</v>
      </c>
      <c r="AA97" s="381" t="s">
        <v>52</v>
      </c>
      <c r="AB97" s="491" t="str">
        <f t="shared" ref="AB97" si="11">X97</f>
        <v>NR</v>
      </c>
      <c r="AC97" s="381" t="s">
        <v>52</v>
      </c>
      <c r="AD97" s="491" t="s">
        <v>52</v>
      </c>
      <c r="AE97" s="381" t="s">
        <v>52</v>
      </c>
      <c r="AF97" s="381" t="s">
        <v>52</v>
      </c>
      <c r="AG97" s="381" t="s">
        <v>52</v>
      </c>
      <c r="AH97" s="381" t="s">
        <v>52</v>
      </c>
      <c r="AI97" s="381" t="s">
        <v>52</v>
      </c>
      <c r="AJ97" s="483" t="s">
        <v>54</v>
      </c>
      <c r="AK97" s="483" t="s">
        <v>54</v>
      </c>
      <c r="AL97" s="483" t="s">
        <v>54</v>
      </c>
      <c r="AM97" s="483" t="s">
        <v>54</v>
      </c>
      <c r="AN97" s="483" t="s">
        <v>54</v>
      </c>
      <c r="AO97" s="483" t="s">
        <v>54</v>
      </c>
      <c r="AP97" s="381" t="s">
        <v>54</v>
      </c>
      <c r="AQ97" s="486" t="s">
        <v>54</v>
      </c>
      <c r="AR97" s="381" t="s">
        <v>54</v>
      </c>
      <c r="AS97" s="385" t="s">
        <v>54</v>
      </c>
      <c r="AT97" s="385" t="s">
        <v>54</v>
      </c>
      <c r="AU97" s="381" t="s">
        <v>54</v>
      </c>
      <c r="AV97" s="381" t="s">
        <v>54</v>
      </c>
      <c r="AW97" s="381" t="s">
        <v>54</v>
      </c>
      <c r="AX97" s="381" t="s">
        <v>54</v>
      </c>
      <c r="AY97" s="386" t="s">
        <v>54</v>
      </c>
      <c r="AZ97" s="397" t="s">
        <v>54</v>
      </c>
      <c r="BA97" s="489" t="s">
        <v>54</v>
      </c>
      <c r="BB97" s="397" t="s">
        <v>54</v>
      </c>
      <c r="BC97" s="489" t="s">
        <v>54</v>
      </c>
      <c r="BD97" s="397" t="s">
        <v>54</v>
      </c>
      <c r="BE97" s="397" t="s">
        <v>54</v>
      </c>
      <c r="BF97" s="397" t="s">
        <v>54</v>
      </c>
      <c r="BG97" s="381" t="s">
        <v>54</v>
      </c>
      <c r="BH97" s="381" t="s">
        <v>54</v>
      </c>
      <c r="BI97" s="381" t="s">
        <v>54</v>
      </c>
      <c r="BJ97" s="381" t="s">
        <v>54</v>
      </c>
      <c r="BK97" s="381" t="s">
        <v>54</v>
      </c>
      <c r="BL97" s="381" t="s">
        <v>54</v>
      </c>
      <c r="BM97" s="381" t="s">
        <v>54</v>
      </c>
      <c r="BN97" s="381" t="s">
        <v>54</v>
      </c>
      <c r="BO97" s="381" t="s">
        <v>54</v>
      </c>
      <c r="BP97" s="381" t="s">
        <v>54</v>
      </c>
      <c r="BQ97" s="381" t="s">
        <v>54</v>
      </c>
      <c r="BR97" s="381" t="s">
        <v>54</v>
      </c>
      <c r="BS97" s="381" t="s">
        <v>54</v>
      </c>
      <c r="BT97" s="381" t="s">
        <v>54</v>
      </c>
      <c r="BU97" s="383" t="s">
        <v>54</v>
      </c>
      <c r="BV97" s="381" t="s">
        <v>54</v>
      </c>
      <c r="BW97" s="381" t="s">
        <v>54</v>
      </c>
      <c r="BX97" s="381" t="s">
        <v>54</v>
      </c>
      <c r="BY97" s="381" t="s">
        <v>54</v>
      </c>
      <c r="BZ97" s="381" t="s">
        <v>54</v>
      </c>
      <c r="CA97" s="381" t="s">
        <v>54</v>
      </c>
      <c r="CB97" s="381" t="s">
        <v>54</v>
      </c>
      <c r="CC97" s="381" t="s">
        <v>54</v>
      </c>
      <c r="CD97" s="381" t="s">
        <v>54</v>
      </c>
      <c r="CE97" s="383" t="s">
        <v>54</v>
      </c>
      <c r="CF97" s="381" t="s">
        <v>54</v>
      </c>
      <c r="CG97" s="381" t="s">
        <v>54</v>
      </c>
      <c r="CH97" s="381" t="s">
        <v>54</v>
      </c>
      <c r="CI97" s="383" t="s">
        <v>54</v>
      </c>
      <c r="CJ97" s="381" t="s">
        <v>54</v>
      </c>
      <c r="CK97" s="381" t="s">
        <v>54</v>
      </c>
      <c r="CL97" s="381" t="s">
        <v>54</v>
      </c>
      <c r="CM97" s="483" t="s">
        <v>54</v>
      </c>
      <c r="CN97" s="483" t="s">
        <v>54</v>
      </c>
      <c r="CO97" s="491" t="s">
        <v>54</v>
      </c>
      <c r="CP97" s="491" t="s">
        <v>54</v>
      </c>
      <c r="CQ97" s="491" t="s">
        <v>54</v>
      </c>
      <c r="CR97" s="491" t="s">
        <v>54</v>
      </c>
      <c r="CS97" s="491" t="s">
        <v>54</v>
      </c>
      <c r="CT97" s="491" t="s">
        <v>2026</v>
      </c>
      <c r="CU97" s="491">
        <v>2019</v>
      </c>
      <c r="CV97" s="491" t="s">
        <v>2864</v>
      </c>
      <c r="CW97" s="491" t="s">
        <v>1975</v>
      </c>
      <c r="CX97" s="491" t="s">
        <v>54</v>
      </c>
      <c r="CY97" s="491" t="s">
        <v>54</v>
      </c>
      <c r="CZ97" s="491" t="s">
        <v>54</v>
      </c>
      <c r="DA97" s="491" t="s">
        <v>54</v>
      </c>
      <c r="DB97" s="491" t="s">
        <v>54</v>
      </c>
      <c r="DC97" s="491" t="s">
        <v>2988</v>
      </c>
      <c r="DD97" s="491" t="s">
        <v>3099</v>
      </c>
      <c r="DE97" s="491" t="s">
        <v>2990</v>
      </c>
      <c r="DF97" s="491" t="s">
        <v>2989</v>
      </c>
      <c r="DG97" s="495" t="s">
        <v>54</v>
      </c>
      <c r="DH97" s="495" t="s">
        <v>54</v>
      </c>
      <c r="DI97" s="495" t="s">
        <v>54</v>
      </c>
      <c r="DJ97" s="495" t="s">
        <v>54</v>
      </c>
      <c r="DK97" s="495" t="s">
        <v>54</v>
      </c>
      <c r="DL97" s="495" t="s">
        <v>54</v>
      </c>
      <c r="DM97" s="382" t="s">
        <v>54</v>
      </c>
      <c r="DN97" s="536" t="s">
        <v>54</v>
      </c>
      <c r="DO97" s="381" t="s">
        <v>54</v>
      </c>
      <c r="DP97" s="385" t="s">
        <v>54</v>
      </c>
      <c r="DQ97" s="385" t="s">
        <v>54</v>
      </c>
      <c r="DR97" s="381" t="s">
        <v>54</v>
      </c>
      <c r="DS97" s="381" t="s">
        <v>54</v>
      </c>
      <c r="DT97" s="381" t="s">
        <v>54</v>
      </c>
      <c r="DU97" s="381" t="s">
        <v>54</v>
      </c>
      <c r="DV97" s="381" t="s">
        <v>54</v>
      </c>
      <c r="DW97" s="381" t="s">
        <v>54</v>
      </c>
      <c r="DX97" s="536" t="s">
        <v>54</v>
      </c>
      <c r="DY97" s="405" t="s">
        <v>54</v>
      </c>
      <c r="DZ97" s="536" t="s">
        <v>54</v>
      </c>
      <c r="EA97" s="405" t="s">
        <v>54</v>
      </c>
      <c r="EB97" s="405" t="s">
        <v>54</v>
      </c>
      <c r="EC97" s="405" t="s">
        <v>54</v>
      </c>
      <c r="ED97" s="381" t="s">
        <v>54</v>
      </c>
      <c r="EE97" s="381" t="s">
        <v>54</v>
      </c>
      <c r="EF97" s="381" t="s">
        <v>54</v>
      </c>
      <c r="EG97" s="381" t="s">
        <v>54</v>
      </c>
      <c r="EH97" s="381" t="s">
        <v>54</v>
      </c>
      <c r="EI97" s="381" t="s">
        <v>54</v>
      </c>
      <c r="EJ97" s="381" t="s">
        <v>54</v>
      </c>
      <c r="EK97" s="381" t="s">
        <v>54</v>
      </c>
      <c r="EL97" s="381" t="s">
        <v>54</v>
      </c>
      <c r="EM97" s="381" t="s">
        <v>54</v>
      </c>
      <c r="EN97" s="381" t="s">
        <v>54</v>
      </c>
      <c r="EO97" s="381" t="s">
        <v>54</v>
      </c>
      <c r="EP97" s="381" t="s">
        <v>54</v>
      </c>
      <c r="EQ97" s="381" t="s">
        <v>54</v>
      </c>
      <c r="ER97" s="381" t="s">
        <v>54</v>
      </c>
      <c r="ES97" s="381" t="s">
        <v>54</v>
      </c>
      <c r="ET97" s="381" t="s">
        <v>54</v>
      </c>
      <c r="EU97" s="381" t="s">
        <v>54</v>
      </c>
    </row>
    <row r="98" spans="1:151" s="1" customFormat="1" ht="17.45" customHeight="1">
      <c r="A98" s="492"/>
      <c r="B98" s="492"/>
      <c r="C98" s="487"/>
      <c r="D98" s="509"/>
      <c r="E98" s="506"/>
      <c r="F98" s="509"/>
      <c r="G98" s="513"/>
      <c r="H98" s="509"/>
      <c r="I98" s="509"/>
      <c r="J98" s="509"/>
      <c r="K98" s="492"/>
      <c r="L98" s="496"/>
      <c r="M98" s="492"/>
      <c r="N98" s="487"/>
      <c r="O98" s="513"/>
      <c r="P98" s="518"/>
      <c r="Q98" s="492"/>
      <c r="R98" s="381" t="s">
        <v>54</v>
      </c>
      <c r="S98" s="381" t="s">
        <v>54</v>
      </c>
      <c r="T98" s="381" t="s">
        <v>54</v>
      </c>
      <c r="U98" s="381" t="s">
        <v>54</v>
      </c>
      <c r="V98" s="381" t="s">
        <v>54</v>
      </c>
      <c r="W98" s="381" t="s">
        <v>54</v>
      </c>
      <c r="X98" s="490"/>
      <c r="Y98" s="381" t="s">
        <v>54</v>
      </c>
      <c r="Z98" s="521"/>
      <c r="AA98" s="381" t="s">
        <v>54</v>
      </c>
      <c r="AB98" s="492"/>
      <c r="AC98" s="381" t="s">
        <v>54</v>
      </c>
      <c r="AD98" s="492"/>
      <c r="AE98" s="381" t="s">
        <v>54</v>
      </c>
      <c r="AF98" s="381" t="s">
        <v>54</v>
      </c>
      <c r="AG98" s="381" t="s">
        <v>54</v>
      </c>
      <c r="AH98" s="381" t="s">
        <v>54</v>
      </c>
      <c r="AI98" s="381" t="s">
        <v>54</v>
      </c>
      <c r="AJ98" s="484"/>
      <c r="AK98" s="484"/>
      <c r="AL98" s="484"/>
      <c r="AM98" s="484"/>
      <c r="AN98" s="484"/>
      <c r="AO98" s="484"/>
      <c r="AP98" s="381" t="s">
        <v>54</v>
      </c>
      <c r="AQ98" s="487"/>
      <c r="AR98" s="381" t="s">
        <v>54</v>
      </c>
      <c r="AS98" s="385" t="s">
        <v>54</v>
      </c>
      <c r="AT98" s="385" t="s">
        <v>54</v>
      </c>
      <c r="AU98" s="381" t="s">
        <v>54</v>
      </c>
      <c r="AV98" s="381" t="s">
        <v>54</v>
      </c>
      <c r="AW98" s="381" t="s">
        <v>54</v>
      </c>
      <c r="AX98" s="381" t="s">
        <v>54</v>
      </c>
      <c r="AY98" s="386" t="s">
        <v>54</v>
      </c>
      <c r="AZ98" s="397" t="s">
        <v>54</v>
      </c>
      <c r="BA98" s="490"/>
      <c r="BB98" s="397" t="s">
        <v>54</v>
      </c>
      <c r="BC98" s="490"/>
      <c r="BD98" s="397" t="s">
        <v>54</v>
      </c>
      <c r="BE98" s="397" t="s">
        <v>54</v>
      </c>
      <c r="BF98" s="397" t="s">
        <v>54</v>
      </c>
      <c r="BG98" s="381" t="s">
        <v>54</v>
      </c>
      <c r="BH98" s="381" t="s">
        <v>54</v>
      </c>
      <c r="BI98" s="381" t="s">
        <v>54</v>
      </c>
      <c r="BJ98" s="381" t="s">
        <v>54</v>
      </c>
      <c r="BK98" s="381" t="s">
        <v>54</v>
      </c>
      <c r="BL98" s="381" t="s">
        <v>54</v>
      </c>
      <c r="BM98" s="381" t="s">
        <v>54</v>
      </c>
      <c r="BN98" s="381" t="s">
        <v>54</v>
      </c>
      <c r="BO98" s="381" t="s">
        <v>54</v>
      </c>
      <c r="BP98" s="381" t="s">
        <v>54</v>
      </c>
      <c r="BQ98" s="381" t="s">
        <v>54</v>
      </c>
      <c r="BR98" s="381" t="s">
        <v>54</v>
      </c>
      <c r="BS98" s="381" t="s">
        <v>54</v>
      </c>
      <c r="BT98" s="381" t="s">
        <v>54</v>
      </c>
      <c r="BU98" s="383" t="s">
        <v>54</v>
      </c>
      <c r="BV98" s="381" t="s">
        <v>54</v>
      </c>
      <c r="BW98" s="381" t="s">
        <v>54</v>
      </c>
      <c r="BX98" s="381" t="s">
        <v>54</v>
      </c>
      <c r="BY98" s="381" t="s">
        <v>54</v>
      </c>
      <c r="BZ98" s="381" t="s">
        <v>54</v>
      </c>
      <c r="CA98" s="381" t="s">
        <v>54</v>
      </c>
      <c r="CB98" s="381" t="s">
        <v>54</v>
      </c>
      <c r="CC98" s="381" t="s">
        <v>54</v>
      </c>
      <c r="CD98" s="381" t="s">
        <v>54</v>
      </c>
      <c r="CE98" s="383" t="s">
        <v>54</v>
      </c>
      <c r="CF98" s="381" t="s">
        <v>54</v>
      </c>
      <c r="CG98" s="381" t="s">
        <v>54</v>
      </c>
      <c r="CH98" s="381" t="s">
        <v>54</v>
      </c>
      <c r="CI98" s="383" t="s">
        <v>54</v>
      </c>
      <c r="CJ98" s="381" t="s">
        <v>54</v>
      </c>
      <c r="CK98" s="381" t="s">
        <v>54</v>
      </c>
      <c r="CL98" s="381" t="s">
        <v>54</v>
      </c>
      <c r="CM98" s="499"/>
      <c r="CN98" s="499"/>
      <c r="CO98" s="492"/>
      <c r="CP98" s="492"/>
      <c r="CQ98" s="492"/>
      <c r="CR98" s="492"/>
      <c r="CS98" s="492"/>
      <c r="CT98" s="492"/>
      <c r="CU98" s="492"/>
      <c r="CV98" s="492"/>
      <c r="CW98" s="492"/>
      <c r="CX98" s="492"/>
      <c r="CY98" s="492"/>
      <c r="CZ98" s="492"/>
      <c r="DA98" s="492"/>
      <c r="DB98" s="492"/>
      <c r="DC98" s="492"/>
      <c r="DD98" s="492"/>
      <c r="DE98" s="492"/>
      <c r="DF98" s="492"/>
      <c r="DG98" s="496"/>
      <c r="DH98" s="496"/>
      <c r="DI98" s="496"/>
      <c r="DJ98" s="496"/>
      <c r="DK98" s="496"/>
      <c r="DL98" s="496"/>
      <c r="DM98" s="382" t="s">
        <v>54</v>
      </c>
      <c r="DN98" s="537"/>
      <c r="DO98" s="381" t="s">
        <v>54</v>
      </c>
      <c r="DP98" s="385" t="s">
        <v>54</v>
      </c>
      <c r="DQ98" s="385" t="s">
        <v>54</v>
      </c>
      <c r="DR98" s="381" t="s">
        <v>54</v>
      </c>
      <c r="DS98" s="381" t="s">
        <v>54</v>
      </c>
      <c r="DT98" s="381" t="s">
        <v>54</v>
      </c>
      <c r="DU98" s="381" t="s">
        <v>54</v>
      </c>
      <c r="DV98" s="381" t="s">
        <v>54</v>
      </c>
      <c r="DW98" s="381" t="s">
        <v>54</v>
      </c>
      <c r="DX98" s="537"/>
      <c r="DY98" s="405" t="s">
        <v>54</v>
      </c>
      <c r="DZ98" s="537"/>
      <c r="EA98" s="405" t="s">
        <v>54</v>
      </c>
      <c r="EB98" s="405" t="s">
        <v>54</v>
      </c>
      <c r="EC98" s="405" t="s">
        <v>54</v>
      </c>
      <c r="ED98" s="381" t="s">
        <v>54</v>
      </c>
      <c r="EE98" s="381" t="s">
        <v>54</v>
      </c>
      <c r="EF98" s="381" t="s">
        <v>54</v>
      </c>
      <c r="EG98" s="381" t="s">
        <v>54</v>
      </c>
      <c r="EH98" s="381" t="s">
        <v>54</v>
      </c>
      <c r="EI98" s="381" t="s">
        <v>54</v>
      </c>
      <c r="EJ98" s="381" t="s">
        <v>54</v>
      </c>
      <c r="EK98" s="381" t="s">
        <v>54</v>
      </c>
      <c r="EL98" s="381" t="s">
        <v>54</v>
      </c>
      <c r="EM98" s="381" t="s">
        <v>54</v>
      </c>
      <c r="EN98" s="381" t="s">
        <v>54</v>
      </c>
      <c r="EO98" s="381" t="s">
        <v>54</v>
      </c>
      <c r="EP98" s="381" t="s">
        <v>54</v>
      </c>
      <c r="EQ98" s="381" t="s">
        <v>54</v>
      </c>
      <c r="ER98" s="381" t="s">
        <v>54</v>
      </c>
      <c r="ES98" s="381" t="s">
        <v>54</v>
      </c>
      <c r="ET98" s="381" t="s">
        <v>54</v>
      </c>
      <c r="EU98" s="381" t="s">
        <v>54</v>
      </c>
    </row>
    <row r="99" spans="1:151" s="1" customFormat="1" ht="19.899999999999999" customHeight="1">
      <c r="A99" s="493"/>
      <c r="B99" s="493"/>
      <c r="C99" s="487"/>
      <c r="D99" s="510"/>
      <c r="E99" s="507"/>
      <c r="F99" s="510"/>
      <c r="G99" s="514"/>
      <c r="H99" s="510"/>
      <c r="I99" s="510"/>
      <c r="J99" s="510"/>
      <c r="K99" s="493"/>
      <c r="L99" s="497"/>
      <c r="M99" s="493"/>
      <c r="N99" s="487"/>
      <c r="O99" s="514"/>
      <c r="P99" s="518"/>
      <c r="Q99" s="493"/>
      <c r="R99" s="381" t="s">
        <v>54</v>
      </c>
      <c r="S99" s="381" t="s">
        <v>54</v>
      </c>
      <c r="T99" s="381" t="s">
        <v>54</v>
      </c>
      <c r="U99" s="381" t="s">
        <v>54</v>
      </c>
      <c r="V99" s="381" t="s">
        <v>54</v>
      </c>
      <c r="W99" s="381" t="s">
        <v>54</v>
      </c>
      <c r="X99" s="490"/>
      <c r="Y99" s="381" t="s">
        <v>54</v>
      </c>
      <c r="Z99" s="521"/>
      <c r="AA99" s="381" t="s">
        <v>54</v>
      </c>
      <c r="AB99" s="493"/>
      <c r="AC99" s="381" t="s">
        <v>54</v>
      </c>
      <c r="AD99" s="493"/>
      <c r="AE99" s="381" t="s">
        <v>54</v>
      </c>
      <c r="AF99" s="381" t="s">
        <v>54</v>
      </c>
      <c r="AG99" s="381" t="s">
        <v>54</v>
      </c>
      <c r="AH99" s="381" t="s">
        <v>54</v>
      </c>
      <c r="AI99" s="381" t="s">
        <v>54</v>
      </c>
      <c r="AJ99" s="484"/>
      <c r="AK99" s="484"/>
      <c r="AL99" s="484"/>
      <c r="AM99" s="484"/>
      <c r="AN99" s="484"/>
      <c r="AO99" s="484"/>
      <c r="AP99" s="381" t="s">
        <v>54</v>
      </c>
      <c r="AQ99" s="487"/>
      <c r="AR99" s="381" t="s">
        <v>54</v>
      </c>
      <c r="AS99" s="385" t="s">
        <v>54</v>
      </c>
      <c r="AT99" s="385" t="s">
        <v>54</v>
      </c>
      <c r="AU99" s="381" t="s">
        <v>54</v>
      </c>
      <c r="AV99" s="381" t="s">
        <v>54</v>
      </c>
      <c r="AW99" s="381" t="s">
        <v>54</v>
      </c>
      <c r="AX99" s="381" t="s">
        <v>54</v>
      </c>
      <c r="AY99" s="386" t="s">
        <v>54</v>
      </c>
      <c r="AZ99" s="397" t="s">
        <v>54</v>
      </c>
      <c r="BA99" s="490"/>
      <c r="BB99" s="397" t="s">
        <v>54</v>
      </c>
      <c r="BC99" s="490"/>
      <c r="BD99" s="397" t="s">
        <v>54</v>
      </c>
      <c r="BE99" s="397" t="s">
        <v>54</v>
      </c>
      <c r="BF99" s="397" t="s">
        <v>54</v>
      </c>
      <c r="BG99" s="381" t="s">
        <v>54</v>
      </c>
      <c r="BH99" s="381" t="s">
        <v>54</v>
      </c>
      <c r="BI99" s="381" t="s">
        <v>54</v>
      </c>
      <c r="BJ99" s="381" t="s">
        <v>54</v>
      </c>
      <c r="BK99" s="381" t="s">
        <v>54</v>
      </c>
      <c r="BL99" s="381" t="s">
        <v>54</v>
      </c>
      <c r="BM99" s="381" t="s">
        <v>54</v>
      </c>
      <c r="BN99" s="381" t="s">
        <v>54</v>
      </c>
      <c r="BO99" s="381" t="s">
        <v>54</v>
      </c>
      <c r="BP99" s="381" t="s">
        <v>54</v>
      </c>
      <c r="BQ99" s="381" t="s">
        <v>54</v>
      </c>
      <c r="BR99" s="381" t="s">
        <v>54</v>
      </c>
      <c r="BS99" s="381" t="s">
        <v>54</v>
      </c>
      <c r="BT99" s="381" t="s">
        <v>54</v>
      </c>
      <c r="BU99" s="383" t="s">
        <v>54</v>
      </c>
      <c r="BV99" s="381" t="s">
        <v>54</v>
      </c>
      <c r="BW99" s="381" t="s">
        <v>54</v>
      </c>
      <c r="BX99" s="381" t="s">
        <v>54</v>
      </c>
      <c r="BY99" s="381" t="s">
        <v>54</v>
      </c>
      <c r="BZ99" s="381" t="s">
        <v>54</v>
      </c>
      <c r="CA99" s="381" t="s">
        <v>54</v>
      </c>
      <c r="CB99" s="381" t="s">
        <v>54</v>
      </c>
      <c r="CC99" s="381" t="s">
        <v>54</v>
      </c>
      <c r="CD99" s="381" t="s">
        <v>54</v>
      </c>
      <c r="CE99" s="383" t="s">
        <v>54</v>
      </c>
      <c r="CF99" s="381" t="s">
        <v>54</v>
      </c>
      <c r="CG99" s="381" t="s">
        <v>54</v>
      </c>
      <c r="CH99" s="381" t="s">
        <v>54</v>
      </c>
      <c r="CI99" s="383" t="s">
        <v>54</v>
      </c>
      <c r="CJ99" s="381" t="s">
        <v>54</v>
      </c>
      <c r="CK99" s="381" t="s">
        <v>54</v>
      </c>
      <c r="CL99" s="381" t="s">
        <v>54</v>
      </c>
      <c r="CM99" s="499"/>
      <c r="CN99" s="499"/>
      <c r="CO99" s="493"/>
      <c r="CP99" s="493"/>
      <c r="CQ99" s="493"/>
      <c r="CR99" s="493"/>
      <c r="CS99" s="493"/>
      <c r="CT99" s="493"/>
      <c r="CU99" s="493"/>
      <c r="CV99" s="493"/>
      <c r="CW99" s="493"/>
      <c r="CX99" s="493"/>
      <c r="CY99" s="493"/>
      <c r="CZ99" s="493"/>
      <c r="DA99" s="493"/>
      <c r="DB99" s="493"/>
      <c r="DC99" s="493"/>
      <c r="DD99" s="493"/>
      <c r="DE99" s="493"/>
      <c r="DF99" s="493"/>
      <c r="DG99" s="497"/>
      <c r="DH99" s="497"/>
      <c r="DI99" s="497"/>
      <c r="DJ99" s="497"/>
      <c r="DK99" s="497"/>
      <c r="DL99" s="497"/>
      <c r="DM99" s="382" t="s">
        <v>54</v>
      </c>
      <c r="DN99" s="537"/>
      <c r="DO99" s="381" t="s">
        <v>54</v>
      </c>
      <c r="DP99" s="385" t="s">
        <v>54</v>
      </c>
      <c r="DQ99" s="385" t="s">
        <v>54</v>
      </c>
      <c r="DR99" s="381" t="s">
        <v>54</v>
      </c>
      <c r="DS99" s="381" t="s">
        <v>54</v>
      </c>
      <c r="DT99" s="381" t="s">
        <v>54</v>
      </c>
      <c r="DU99" s="381" t="s">
        <v>54</v>
      </c>
      <c r="DV99" s="381" t="s">
        <v>54</v>
      </c>
      <c r="DW99" s="381" t="s">
        <v>54</v>
      </c>
      <c r="DX99" s="537"/>
      <c r="DY99" s="405" t="s">
        <v>54</v>
      </c>
      <c r="DZ99" s="537"/>
      <c r="EA99" s="405" t="s">
        <v>54</v>
      </c>
      <c r="EB99" s="405" t="s">
        <v>54</v>
      </c>
      <c r="EC99" s="405" t="s">
        <v>54</v>
      </c>
      <c r="ED99" s="381" t="s">
        <v>54</v>
      </c>
      <c r="EE99" s="381" t="s">
        <v>54</v>
      </c>
      <c r="EF99" s="381" t="s">
        <v>54</v>
      </c>
      <c r="EG99" s="381" t="s">
        <v>54</v>
      </c>
      <c r="EH99" s="381" t="s">
        <v>54</v>
      </c>
      <c r="EI99" s="381" t="s">
        <v>54</v>
      </c>
      <c r="EJ99" s="381" t="s">
        <v>54</v>
      </c>
      <c r="EK99" s="381" t="s">
        <v>54</v>
      </c>
      <c r="EL99" s="381" t="s">
        <v>54</v>
      </c>
      <c r="EM99" s="381" t="s">
        <v>54</v>
      </c>
      <c r="EN99" s="381" t="s">
        <v>54</v>
      </c>
      <c r="EO99" s="381" t="s">
        <v>54</v>
      </c>
      <c r="EP99" s="381" t="s">
        <v>54</v>
      </c>
      <c r="EQ99" s="381" t="s">
        <v>54</v>
      </c>
      <c r="ER99" s="381" t="s">
        <v>54</v>
      </c>
      <c r="ES99" s="381" t="s">
        <v>54</v>
      </c>
      <c r="ET99" s="381" t="s">
        <v>54</v>
      </c>
      <c r="EU99" s="381" t="s">
        <v>54</v>
      </c>
    </row>
    <row r="100" spans="1:151" s="1" customFormat="1" ht="19.5" customHeight="1">
      <c r="A100" s="494"/>
      <c r="B100" s="494"/>
      <c r="C100" s="488"/>
      <c r="D100" s="511"/>
      <c r="E100" s="508"/>
      <c r="F100" s="511"/>
      <c r="G100" s="515"/>
      <c r="H100" s="511"/>
      <c r="I100" s="511"/>
      <c r="J100" s="511"/>
      <c r="K100" s="494"/>
      <c r="L100" s="498"/>
      <c r="M100" s="494"/>
      <c r="N100" s="488"/>
      <c r="O100" s="515"/>
      <c r="P100" s="519"/>
      <c r="Q100" s="494"/>
      <c r="R100" s="381" t="s">
        <v>54</v>
      </c>
      <c r="S100" s="381" t="s">
        <v>54</v>
      </c>
      <c r="T100" s="381" t="s">
        <v>54</v>
      </c>
      <c r="U100" s="381" t="s">
        <v>54</v>
      </c>
      <c r="V100" s="381" t="s">
        <v>54</v>
      </c>
      <c r="W100" s="381" t="s">
        <v>54</v>
      </c>
      <c r="X100" s="490"/>
      <c r="Y100" s="381" t="s">
        <v>54</v>
      </c>
      <c r="Z100" s="521"/>
      <c r="AA100" s="381" t="s">
        <v>54</v>
      </c>
      <c r="AB100" s="494"/>
      <c r="AC100" s="381" t="s">
        <v>54</v>
      </c>
      <c r="AD100" s="494"/>
      <c r="AE100" s="381" t="s">
        <v>54</v>
      </c>
      <c r="AF100" s="381" t="s">
        <v>54</v>
      </c>
      <c r="AG100" s="381" t="s">
        <v>54</v>
      </c>
      <c r="AH100" s="381" t="s">
        <v>54</v>
      </c>
      <c r="AI100" s="381" t="s">
        <v>54</v>
      </c>
      <c r="AJ100" s="485"/>
      <c r="AK100" s="485"/>
      <c r="AL100" s="485"/>
      <c r="AM100" s="485"/>
      <c r="AN100" s="485"/>
      <c r="AO100" s="485"/>
      <c r="AP100" s="381" t="s">
        <v>54</v>
      </c>
      <c r="AQ100" s="488"/>
      <c r="AR100" s="381" t="s">
        <v>54</v>
      </c>
      <c r="AS100" s="385" t="s">
        <v>54</v>
      </c>
      <c r="AT100" s="385" t="s">
        <v>54</v>
      </c>
      <c r="AU100" s="381" t="s">
        <v>54</v>
      </c>
      <c r="AV100" s="381" t="s">
        <v>54</v>
      </c>
      <c r="AW100" s="381" t="s">
        <v>54</v>
      </c>
      <c r="AX100" s="381" t="s">
        <v>54</v>
      </c>
      <c r="AY100" s="386" t="s">
        <v>54</v>
      </c>
      <c r="AZ100" s="397" t="s">
        <v>54</v>
      </c>
      <c r="BA100" s="490"/>
      <c r="BB100" s="397" t="s">
        <v>54</v>
      </c>
      <c r="BC100" s="490"/>
      <c r="BD100" s="397" t="s">
        <v>54</v>
      </c>
      <c r="BE100" s="397" t="s">
        <v>54</v>
      </c>
      <c r="BF100" s="397" t="s">
        <v>54</v>
      </c>
      <c r="BG100" s="381" t="s">
        <v>54</v>
      </c>
      <c r="BH100" s="381" t="s">
        <v>54</v>
      </c>
      <c r="BI100" s="381" t="s">
        <v>54</v>
      </c>
      <c r="BJ100" s="381" t="s">
        <v>54</v>
      </c>
      <c r="BK100" s="381" t="s">
        <v>54</v>
      </c>
      <c r="BL100" s="381" t="s">
        <v>54</v>
      </c>
      <c r="BM100" s="381" t="s">
        <v>54</v>
      </c>
      <c r="BN100" s="381" t="s">
        <v>54</v>
      </c>
      <c r="BO100" s="381" t="s">
        <v>54</v>
      </c>
      <c r="BP100" s="381" t="s">
        <v>54</v>
      </c>
      <c r="BQ100" s="381" t="s">
        <v>54</v>
      </c>
      <c r="BR100" s="381" t="s">
        <v>54</v>
      </c>
      <c r="BS100" s="381" t="s">
        <v>54</v>
      </c>
      <c r="BT100" s="381" t="s">
        <v>54</v>
      </c>
      <c r="BU100" s="383" t="s">
        <v>54</v>
      </c>
      <c r="BV100" s="381" t="s">
        <v>54</v>
      </c>
      <c r="BW100" s="381" t="s">
        <v>54</v>
      </c>
      <c r="BX100" s="381" t="s">
        <v>54</v>
      </c>
      <c r="BY100" s="381" t="s">
        <v>54</v>
      </c>
      <c r="BZ100" s="381" t="s">
        <v>54</v>
      </c>
      <c r="CA100" s="381" t="s">
        <v>54</v>
      </c>
      <c r="CB100" s="381" t="s">
        <v>54</v>
      </c>
      <c r="CC100" s="381" t="s">
        <v>54</v>
      </c>
      <c r="CD100" s="381" t="s">
        <v>54</v>
      </c>
      <c r="CE100" s="383" t="s">
        <v>54</v>
      </c>
      <c r="CF100" s="381" t="s">
        <v>54</v>
      </c>
      <c r="CG100" s="381" t="s">
        <v>54</v>
      </c>
      <c r="CH100" s="381" t="s">
        <v>54</v>
      </c>
      <c r="CI100" s="383" t="s">
        <v>54</v>
      </c>
      <c r="CJ100" s="381" t="s">
        <v>54</v>
      </c>
      <c r="CK100" s="381" t="s">
        <v>54</v>
      </c>
      <c r="CL100" s="381" t="s">
        <v>54</v>
      </c>
      <c r="CM100" s="500"/>
      <c r="CN100" s="500"/>
      <c r="CO100" s="494"/>
      <c r="CP100" s="494"/>
      <c r="CQ100" s="494"/>
      <c r="CR100" s="494"/>
      <c r="CS100" s="494"/>
      <c r="CT100" s="494"/>
      <c r="CU100" s="494"/>
      <c r="CV100" s="494"/>
      <c r="CW100" s="494"/>
      <c r="CX100" s="494"/>
      <c r="CY100" s="494"/>
      <c r="CZ100" s="494"/>
      <c r="DA100" s="494"/>
      <c r="DB100" s="494"/>
      <c r="DC100" s="494"/>
      <c r="DD100" s="494"/>
      <c r="DE100" s="494"/>
      <c r="DF100" s="494"/>
      <c r="DG100" s="498"/>
      <c r="DH100" s="498"/>
      <c r="DI100" s="498"/>
      <c r="DJ100" s="498"/>
      <c r="DK100" s="498"/>
      <c r="DL100" s="498"/>
      <c r="DM100" s="382" t="s">
        <v>54</v>
      </c>
      <c r="DN100" s="537"/>
      <c r="DO100" s="381" t="s">
        <v>54</v>
      </c>
      <c r="DP100" s="385" t="s">
        <v>54</v>
      </c>
      <c r="DQ100" s="385" t="s">
        <v>54</v>
      </c>
      <c r="DR100" s="381" t="s">
        <v>54</v>
      </c>
      <c r="DS100" s="381" t="s">
        <v>54</v>
      </c>
      <c r="DT100" s="381" t="s">
        <v>54</v>
      </c>
      <c r="DU100" s="381" t="s">
        <v>54</v>
      </c>
      <c r="DV100" s="381" t="s">
        <v>54</v>
      </c>
      <c r="DW100" s="381" t="s">
        <v>54</v>
      </c>
      <c r="DX100" s="537"/>
      <c r="DY100" s="405" t="s">
        <v>54</v>
      </c>
      <c r="DZ100" s="537"/>
      <c r="EA100" s="405" t="s">
        <v>54</v>
      </c>
      <c r="EB100" s="405" t="s">
        <v>54</v>
      </c>
      <c r="EC100" s="405" t="s">
        <v>54</v>
      </c>
      <c r="ED100" s="381" t="s">
        <v>54</v>
      </c>
      <c r="EE100" s="381" t="s">
        <v>54</v>
      </c>
      <c r="EF100" s="381" t="s">
        <v>54</v>
      </c>
      <c r="EG100" s="381" t="s">
        <v>54</v>
      </c>
      <c r="EH100" s="381" t="s">
        <v>54</v>
      </c>
      <c r="EI100" s="381" t="s">
        <v>54</v>
      </c>
      <c r="EJ100" s="381" t="s">
        <v>54</v>
      </c>
      <c r="EK100" s="381" t="s">
        <v>54</v>
      </c>
      <c r="EL100" s="381" t="s">
        <v>54</v>
      </c>
      <c r="EM100" s="381" t="s">
        <v>54</v>
      </c>
      <c r="EN100" s="381" t="s">
        <v>54</v>
      </c>
      <c r="EO100" s="381" t="s">
        <v>54</v>
      </c>
      <c r="EP100" s="381" t="s">
        <v>54</v>
      </c>
      <c r="EQ100" s="381" t="s">
        <v>54</v>
      </c>
      <c r="ER100" s="381" t="s">
        <v>54</v>
      </c>
      <c r="ES100" s="381" t="s">
        <v>54</v>
      </c>
      <c r="ET100" s="381" t="s">
        <v>54</v>
      </c>
      <c r="EU100" s="381" t="s">
        <v>54</v>
      </c>
    </row>
    <row r="101" spans="1:151" s="1" customFormat="1" ht="19.899999999999999" customHeight="1">
      <c r="A101" s="491">
        <v>11</v>
      </c>
      <c r="B101" s="491">
        <v>11</v>
      </c>
      <c r="C101" s="486" t="s">
        <v>2797</v>
      </c>
      <c r="D101" s="491" t="s">
        <v>3022</v>
      </c>
      <c r="E101" s="495" t="s">
        <v>2924</v>
      </c>
      <c r="F101" s="491" t="s">
        <v>3054</v>
      </c>
      <c r="G101" s="512" t="s">
        <v>3039</v>
      </c>
      <c r="H101" s="491" t="s">
        <v>2995</v>
      </c>
      <c r="I101" s="491" t="s">
        <v>3055</v>
      </c>
      <c r="J101" s="491" t="s">
        <v>52</v>
      </c>
      <c r="K101" s="516" t="s">
        <v>3126</v>
      </c>
      <c r="L101" s="495" t="s">
        <v>3133</v>
      </c>
      <c r="M101" s="491" t="s">
        <v>3023</v>
      </c>
      <c r="N101" s="486" t="s">
        <v>3133</v>
      </c>
      <c r="O101" s="512" t="s">
        <v>3023</v>
      </c>
      <c r="P101" s="524" t="s">
        <v>52</v>
      </c>
      <c r="Q101" s="491">
        <v>1</v>
      </c>
      <c r="R101" s="381" t="s">
        <v>52</v>
      </c>
      <c r="S101" s="381" t="s">
        <v>52</v>
      </c>
      <c r="T101" s="381" t="s">
        <v>52</v>
      </c>
      <c r="U101" s="381" t="s">
        <v>52</v>
      </c>
      <c r="V101" s="381" t="s">
        <v>52</v>
      </c>
      <c r="W101" s="381" t="s">
        <v>52</v>
      </c>
      <c r="X101" s="489">
        <v>9700</v>
      </c>
      <c r="Y101" s="381" t="s">
        <v>52</v>
      </c>
      <c r="Z101" s="520" t="s">
        <v>52</v>
      </c>
      <c r="AA101" s="381" t="s">
        <v>52</v>
      </c>
      <c r="AB101" s="491">
        <f t="shared" ref="AB101" si="12">X101</f>
        <v>9700</v>
      </c>
      <c r="AC101" s="381" t="s">
        <v>52</v>
      </c>
      <c r="AD101" s="491" t="s">
        <v>52</v>
      </c>
      <c r="AE101" s="381" t="s">
        <v>52</v>
      </c>
      <c r="AF101" s="381" t="s">
        <v>52</v>
      </c>
      <c r="AG101" s="381" t="s">
        <v>52</v>
      </c>
      <c r="AH101" s="381" t="s">
        <v>52</v>
      </c>
      <c r="AI101" s="381" t="s">
        <v>52</v>
      </c>
      <c r="AJ101" s="483" t="s">
        <v>54</v>
      </c>
      <c r="AK101" s="483" t="s">
        <v>54</v>
      </c>
      <c r="AL101" s="483" t="s">
        <v>54</v>
      </c>
      <c r="AM101" s="483" t="s">
        <v>54</v>
      </c>
      <c r="AN101" s="483" t="s">
        <v>54</v>
      </c>
      <c r="AO101" s="483" t="s">
        <v>54</v>
      </c>
      <c r="AP101" s="381" t="s">
        <v>54</v>
      </c>
      <c r="AQ101" s="486" t="s">
        <v>54</v>
      </c>
      <c r="AR101" s="381" t="s">
        <v>54</v>
      </c>
      <c r="AS101" s="385" t="s">
        <v>54</v>
      </c>
      <c r="AT101" s="385" t="s">
        <v>54</v>
      </c>
      <c r="AU101" s="381" t="s">
        <v>54</v>
      </c>
      <c r="AV101" s="381" t="s">
        <v>54</v>
      </c>
      <c r="AW101" s="381" t="s">
        <v>54</v>
      </c>
      <c r="AX101" s="381" t="s">
        <v>54</v>
      </c>
      <c r="AY101" s="386" t="s">
        <v>54</v>
      </c>
      <c r="AZ101" s="397" t="s">
        <v>54</v>
      </c>
      <c r="BA101" s="489" t="s">
        <v>54</v>
      </c>
      <c r="BB101" s="397" t="s">
        <v>54</v>
      </c>
      <c r="BC101" s="489" t="s">
        <v>54</v>
      </c>
      <c r="BD101" s="397" t="s">
        <v>54</v>
      </c>
      <c r="BE101" s="397" t="s">
        <v>54</v>
      </c>
      <c r="BF101" s="397" t="s">
        <v>54</v>
      </c>
      <c r="BG101" s="381" t="s">
        <v>54</v>
      </c>
      <c r="BH101" s="381" t="s">
        <v>54</v>
      </c>
      <c r="BI101" s="381" t="s">
        <v>54</v>
      </c>
      <c r="BJ101" s="381" t="s">
        <v>54</v>
      </c>
      <c r="BK101" s="381" t="s">
        <v>54</v>
      </c>
      <c r="BL101" s="381" t="s">
        <v>54</v>
      </c>
      <c r="BM101" s="381" t="s">
        <v>54</v>
      </c>
      <c r="BN101" s="381" t="s">
        <v>54</v>
      </c>
      <c r="BO101" s="381" t="s">
        <v>54</v>
      </c>
      <c r="BP101" s="381" t="s">
        <v>54</v>
      </c>
      <c r="BQ101" s="381" t="s">
        <v>54</v>
      </c>
      <c r="BR101" s="381" t="s">
        <v>54</v>
      </c>
      <c r="BS101" s="381" t="s">
        <v>54</v>
      </c>
      <c r="BT101" s="381" t="s">
        <v>54</v>
      </c>
      <c r="BU101" s="383" t="s">
        <v>54</v>
      </c>
      <c r="BV101" s="381" t="s">
        <v>54</v>
      </c>
      <c r="BW101" s="381" t="s">
        <v>54</v>
      </c>
      <c r="BX101" s="381" t="s">
        <v>54</v>
      </c>
      <c r="BY101" s="381" t="s">
        <v>54</v>
      </c>
      <c r="BZ101" s="381" t="s">
        <v>54</v>
      </c>
      <c r="CA101" s="381" t="s">
        <v>54</v>
      </c>
      <c r="CB101" s="381" t="s">
        <v>54</v>
      </c>
      <c r="CC101" s="381" t="s">
        <v>54</v>
      </c>
      <c r="CD101" s="381" t="s">
        <v>54</v>
      </c>
      <c r="CE101" s="383" t="s">
        <v>54</v>
      </c>
      <c r="CF101" s="381" t="s">
        <v>54</v>
      </c>
      <c r="CG101" s="381" t="s">
        <v>54</v>
      </c>
      <c r="CH101" s="381" t="s">
        <v>54</v>
      </c>
      <c r="CI101" s="383" t="s">
        <v>54</v>
      </c>
      <c r="CJ101" s="381" t="s">
        <v>54</v>
      </c>
      <c r="CK101" s="381" t="s">
        <v>54</v>
      </c>
      <c r="CL101" s="381" t="s">
        <v>54</v>
      </c>
      <c r="CM101" s="483" t="s">
        <v>54</v>
      </c>
      <c r="CN101" s="483" t="s">
        <v>54</v>
      </c>
      <c r="CO101" s="491" t="s">
        <v>54</v>
      </c>
      <c r="CP101" s="491" t="s">
        <v>54</v>
      </c>
      <c r="CQ101" s="491" t="s">
        <v>54</v>
      </c>
      <c r="CR101" s="491" t="s">
        <v>54</v>
      </c>
      <c r="CS101" s="491" t="s">
        <v>54</v>
      </c>
      <c r="CT101" s="491" t="s">
        <v>2026</v>
      </c>
      <c r="CU101" s="491">
        <v>2017</v>
      </c>
      <c r="CV101" s="501" t="s">
        <v>2863</v>
      </c>
      <c r="CW101" s="491" t="s">
        <v>1975</v>
      </c>
      <c r="CX101" s="491" t="s">
        <v>54</v>
      </c>
      <c r="CY101" s="491" t="s">
        <v>54</v>
      </c>
      <c r="CZ101" s="491" t="s">
        <v>54</v>
      </c>
      <c r="DA101" s="491" t="s">
        <v>54</v>
      </c>
      <c r="DB101" s="491" t="s">
        <v>54</v>
      </c>
      <c r="DC101" s="491" t="s">
        <v>2992</v>
      </c>
      <c r="DD101" s="495" t="s">
        <v>2993</v>
      </c>
      <c r="DE101" s="491" t="s">
        <v>2994</v>
      </c>
      <c r="DF101" s="491" t="s">
        <v>52</v>
      </c>
      <c r="DG101" s="495" t="s">
        <v>54</v>
      </c>
      <c r="DH101" s="495" t="s">
        <v>54</v>
      </c>
      <c r="DI101" s="495" t="s">
        <v>54</v>
      </c>
      <c r="DJ101" s="495" t="s">
        <v>54</v>
      </c>
      <c r="DK101" s="495" t="s">
        <v>54</v>
      </c>
      <c r="DL101" s="495" t="s">
        <v>54</v>
      </c>
      <c r="DM101" s="382" t="s">
        <v>54</v>
      </c>
      <c r="DN101" s="536" t="s">
        <v>54</v>
      </c>
      <c r="DO101" s="381" t="s">
        <v>54</v>
      </c>
      <c r="DP101" s="385" t="s">
        <v>54</v>
      </c>
      <c r="DQ101" s="385" t="s">
        <v>54</v>
      </c>
      <c r="DR101" s="381" t="s">
        <v>54</v>
      </c>
      <c r="DS101" s="381" t="s">
        <v>54</v>
      </c>
      <c r="DT101" s="381" t="s">
        <v>54</v>
      </c>
      <c r="DU101" s="381" t="s">
        <v>54</v>
      </c>
      <c r="DV101" s="381" t="s">
        <v>54</v>
      </c>
      <c r="DW101" s="381" t="s">
        <v>54</v>
      </c>
      <c r="DX101" s="536" t="s">
        <v>54</v>
      </c>
      <c r="DY101" s="405" t="s">
        <v>54</v>
      </c>
      <c r="DZ101" s="536" t="s">
        <v>54</v>
      </c>
      <c r="EA101" s="405" t="s">
        <v>54</v>
      </c>
      <c r="EB101" s="405" t="s">
        <v>54</v>
      </c>
      <c r="EC101" s="405" t="s">
        <v>54</v>
      </c>
      <c r="ED101" s="381" t="s">
        <v>54</v>
      </c>
      <c r="EE101" s="381" t="s">
        <v>54</v>
      </c>
      <c r="EF101" s="381" t="s">
        <v>54</v>
      </c>
      <c r="EG101" s="381" t="s">
        <v>54</v>
      </c>
      <c r="EH101" s="381" t="s">
        <v>54</v>
      </c>
      <c r="EI101" s="381" t="s">
        <v>54</v>
      </c>
      <c r="EJ101" s="381" t="s">
        <v>54</v>
      </c>
      <c r="EK101" s="381" t="s">
        <v>54</v>
      </c>
      <c r="EL101" s="381" t="s">
        <v>54</v>
      </c>
      <c r="EM101" s="381" t="s">
        <v>54</v>
      </c>
      <c r="EN101" s="381" t="s">
        <v>54</v>
      </c>
      <c r="EO101" s="381" t="s">
        <v>54</v>
      </c>
      <c r="EP101" s="381" t="s">
        <v>54</v>
      </c>
      <c r="EQ101" s="381" t="s">
        <v>54</v>
      </c>
      <c r="ER101" s="381" t="s">
        <v>54</v>
      </c>
      <c r="ES101" s="381" t="s">
        <v>54</v>
      </c>
      <c r="ET101" s="381" t="s">
        <v>54</v>
      </c>
      <c r="EU101" s="381" t="s">
        <v>54</v>
      </c>
    </row>
    <row r="102" spans="1:151" s="1" customFormat="1" ht="19.899999999999999" customHeight="1">
      <c r="A102" s="492"/>
      <c r="B102" s="492"/>
      <c r="C102" s="487"/>
      <c r="D102" s="509"/>
      <c r="E102" s="506"/>
      <c r="F102" s="509"/>
      <c r="G102" s="513"/>
      <c r="H102" s="509"/>
      <c r="I102" s="509"/>
      <c r="J102" s="509"/>
      <c r="K102" s="492"/>
      <c r="L102" s="496"/>
      <c r="M102" s="492"/>
      <c r="N102" s="487"/>
      <c r="O102" s="513"/>
      <c r="P102" s="525"/>
      <c r="Q102" s="492"/>
      <c r="R102" s="381" t="s">
        <v>54</v>
      </c>
      <c r="S102" s="381" t="s">
        <v>54</v>
      </c>
      <c r="T102" s="381" t="s">
        <v>54</v>
      </c>
      <c r="U102" s="381" t="s">
        <v>54</v>
      </c>
      <c r="V102" s="381" t="s">
        <v>54</v>
      </c>
      <c r="W102" s="381" t="s">
        <v>54</v>
      </c>
      <c r="X102" s="490"/>
      <c r="Y102" s="381" t="s">
        <v>54</v>
      </c>
      <c r="Z102" s="521"/>
      <c r="AA102" s="381" t="s">
        <v>54</v>
      </c>
      <c r="AB102" s="492"/>
      <c r="AC102" s="381" t="s">
        <v>54</v>
      </c>
      <c r="AD102" s="492"/>
      <c r="AE102" s="381" t="s">
        <v>54</v>
      </c>
      <c r="AF102" s="381" t="s">
        <v>54</v>
      </c>
      <c r="AG102" s="381" t="s">
        <v>54</v>
      </c>
      <c r="AH102" s="381" t="s">
        <v>54</v>
      </c>
      <c r="AI102" s="381" t="s">
        <v>54</v>
      </c>
      <c r="AJ102" s="484"/>
      <c r="AK102" s="484"/>
      <c r="AL102" s="484"/>
      <c r="AM102" s="484"/>
      <c r="AN102" s="484"/>
      <c r="AO102" s="484"/>
      <c r="AP102" s="381" t="s">
        <v>54</v>
      </c>
      <c r="AQ102" s="487"/>
      <c r="AR102" s="381" t="s">
        <v>54</v>
      </c>
      <c r="AS102" s="385" t="s">
        <v>54</v>
      </c>
      <c r="AT102" s="385" t="s">
        <v>54</v>
      </c>
      <c r="AU102" s="381" t="s">
        <v>54</v>
      </c>
      <c r="AV102" s="381" t="s">
        <v>54</v>
      </c>
      <c r="AW102" s="381" t="s">
        <v>54</v>
      </c>
      <c r="AX102" s="381" t="s">
        <v>54</v>
      </c>
      <c r="AY102" s="386" t="s">
        <v>54</v>
      </c>
      <c r="AZ102" s="397" t="s">
        <v>54</v>
      </c>
      <c r="BA102" s="490"/>
      <c r="BB102" s="397" t="s">
        <v>54</v>
      </c>
      <c r="BC102" s="490"/>
      <c r="BD102" s="397" t="s">
        <v>54</v>
      </c>
      <c r="BE102" s="397" t="s">
        <v>54</v>
      </c>
      <c r="BF102" s="397" t="s">
        <v>54</v>
      </c>
      <c r="BG102" s="381" t="s">
        <v>54</v>
      </c>
      <c r="BH102" s="381" t="s">
        <v>54</v>
      </c>
      <c r="BI102" s="381" t="s">
        <v>54</v>
      </c>
      <c r="BJ102" s="381" t="s">
        <v>54</v>
      </c>
      <c r="BK102" s="381" t="s">
        <v>54</v>
      </c>
      <c r="BL102" s="381" t="s">
        <v>54</v>
      </c>
      <c r="BM102" s="381" t="s">
        <v>54</v>
      </c>
      <c r="BN102" s="381" t="s">
        <v>54</v>
      </c>
      <c r="BO102" s="381" t="s">
        <v>54</v>
      </c>
      <c r="BP102" s="381" t="s">
        <v>54</v>
      </c>
      <c r="BQ102" s="381" t="s">
        <v>54</v>
      </c>
      <c r="BR102" s="381" t="s">
        <v>54</v>
      </c>
      <c r="BS102" s="381" t="s">
        <v>54</v>
      </c>
      <c r="BT102" s="381" t="s">
        <v>54</v>
      </c>
      <c r="BU102" s="383" t="s">
        <v>54</v>
      </c>
      <c r="BV102" s="381" t="s">
        <v>54</v>
      </c>
      <c r="BW102" s="381" t="s">
        <v>54</v>
      </c>
      <c r="BX102" s="381" t="s">
        <v>54</v>
      </c>
      <c r="BY102" s="381" t="s">
        <v>54</v>
      </c>
      <c r="BZ102" s="381" t="s">
        <v>54</v>
      </c>
      <c r="CA102" s="381" t="s">
        <v>54</v>
      </c>
      <c r="CB102" s="381" t="s">
        <v>54</v>
      </c>
      <c r="CC102" s="381" t="s">
        <v>54</v>
      </c>
      <c r="CD102" s="381" t="s">
        <v>54</v>
      </c>
      <c r="CE102" s="383" t="s">
        <v>54</v>
      </c>
      <c r="CF102" s="381" t="s">
        <v>54</v>
      </c>
      <c r="CG102" s="381" t="s">
        <v>54</v>
      </c>
      <c r="CH102" s="381" t="s">
        <v>54</v>
      </c>
      <c r="CI102" s="383" t="s">
        <v>54</v>
      </c>
      <c r="CJ102" s="381" t="s">
        <v>54</v>
      </c>
      <c r="CK102" s="381" t="s">
        <v>54</v>
      </c>
      <c r="CL102" s="381" t="s">
        <v>54</v>
      </c>
      <c r="CM102" s="499"/>
      <c r="CN102" s="499"/>
      <c r="CO102" s="492"/>
      <c r="CP102" s="492"/>
      <c r="CQ102" s="492"/>
      <c r="CR102" s="492"/>
      <c r="CS102" s="492"/>
      <c r="CT102" s="492"/>
      <c r="CU102" s="492"/>
      <c r="CV102" s="501"/>
      <c r="CW102" s="492"/>
      <c r="CX102" s="492"/>
      <c r="CY102" s="492"/>
      <c r="CZ102" s="492"/>
      <c r="DA102" s="492"/>
      <c r="DB102" s="492"/>
      <c r="DC102" s="492"/>
      <c r="DD102" s="496"/>
      <c r="DE102" s="492"/>
      <c r="DF102" s="492"/>
      <c r="DG102" s="496"/>
      <c r="DH102" s="496"/>
      <c r="DI102" s="496"/>
      <c r="DJ102" s="496"/>
      <c r="DK102" s="496"/>
      <c r="DL102" s="496"/>
      <c r="DM102" s="382" t="s">
        <v>54</v>
      </c>
      <c r="DN102" s="537"/>
      <c r="DO102" s="381" t="s">
        <v>54</v>
      </c>
      <c r="DP102" s="385" t="s">
        <v>54</v>
      </c>
      <c r="DQ102" s="385" t="s">
        <v>54</v>
      </c>
      <c r="DR102" s="381" t="s">
        <v>54</v>
      </c>
      <c r="DS102" s="381" t="s">
        <v>54</v>
      </c>
      <c r="DT102" s="381" t="s">
        <v>54</v>
      </c>
      <c r="DU102" s="381" t="s">
        <v>54</v>
      </c>
      <c r="DV102" s="381" t="s">
        <v>54</v>
      </c>
      <c r="DW102" s="381" t="s">
        <v>54</v>
      </c>
      <c r="DX102" s="537"/>
      <c r="DY102" s="405" t="s">
        <v>54</v>
      </c>
      <c r="DZ102" s="537"/>
      <c r="EA102" s="405" t="s">
        <v>54</v>
      </c>
      <c r="EB102" s="405" t="s">
        <v>54</v>
      </c>
      <c r="EC102" s="405" t="s">
        <v>54</v>
      </c>
      <c r="ED102" s="381" t="s">
        <v>54</v>
      </c>
      <c r="EE102" s="381" t="s">
        <v>54</v>
      </c>
      <c r="EF102" s="381" t="s">
        <v>54</v>
      </c>
      <c r="EG102" s="381" t="s">
        <v>54</v>
      </c>
      <c r="EH102" s="381" t="s">
        <v>54</v>
      </c>
      <c r="EI102" s="381" t="s">
        <v>54</v>
      </c>
      <c r="EJ102" s="381" t="s">
        <v>54</v>
      </c>
      <c r="EK102" s="381" t="s">
        <v>54</v>
      </c>
      <c r="EL102" s="381" t="s">
        <v>54</v>
      </c>
      <c r="EM102" s="381" t="s">
        <v>54</v>
      </c>
      <c r="EN102" s="381" t="s">
        <v>54</v>
      </c>
      <c r="EO102" s="381" t="s">
        <v>54</v>
      </c>
      <c r="EP102" s="381" t="s">
        <v>54</v>
      </c>
      <c r="EQ102" s="381" t="s">
        <v>54</v>
      </c>
      <c r="ER102" s="381" t="s">
        <v>54</v>
      </c>
      <c r="ES102" s="381" t="s">
        <v>54</v>
      </c>
      <c r="ET102" s="381" t="s">
        <v>54</v>
      </c>
      <c r="EU102" s="381" t="s">
        <v>54</v>
      </c>
    </row>
    <row r="103" spans="1:151" s="1" customFormat="1" ht="19.899999999999999" customHeight="1">
      <c r="A103" s="493"/>
      <c r="B103" s="493"/>
      <c r="C103" s="487"/>
      <c r="D103" s="510"/>
      <c r="E103" s="507"/>
      <c r="F103" s="510"/>
      <c r="G103" s="514"/>
      <c r="H103" s="510"/>
      <c r="I103" s="510"/>
      <c r="J103" s="510"/>
      <c r="K103" s="493"/>
      <c r="L103" s="497"/>
      <c r="M103" s="493"/>
      <c r="N103" s="487"/>
      <c r="O103" s="514"/>
      <c r="P103" s="526"/>
      <c r="Q103" s="493"/>
      <c r="R103" s="381" t="s">
        <v>54</v>
      </c>
      <c r="S103" s="381" t="s">
        <v>54</v>
      </c>
      <c r="T103" s="381" t="s">
        <v>54</v>
      </c>
      <c r="U103" s="381" t="s">
        <v>54</v>
      </c>
      <c r="V103" s="381" t="s">
        <v>54</v>
      </c>
      <c r="W103" s="381" t="s">
        <v>54</v>
      </c>
      <c r="X103" s="490"/>
      <c r="Y103" s="381" t="s">
        <v>54</v>
      </c>
      <c r="Z103" s="521"/>
      <c r="AA103" s="381" t="s">
        <v>54</v>
      </c>
      <c r="AB103" s="493"/>
      <c r="AC103" s="381" t="s">
        <v>54</v>
      </c>
      <c r="AD103" s="493"/>
      <c r="AE103" s="381" t="s">
        <v>54</v>
      </c>
      <c r="AF103" s="381" t="s">
        <v>54</v>
      </c>
      <c r="AG103" s="381" t="s">
        <v>54</v>
      </c>
      <c r="AH103" s="381" t="s">
        <v>54</v>
      </c>
      <c r="AI103" s="381" t="s">
        <v>54</v>
      </c>
      <c r="AJ103" s="484"/>
      <c r="AK103" s="484"/>
      <c r="AL103" s="484"/>
      <c r="AM103" s="484"/>
      <c r="AN103" s="484"/>
      <c r="AO103" s="484"/>
      <c r="AP103" s="381" t="s">
        <v>54</v>
      </c>
      <c r="AQ103" s="487"/>
      <c r="AR103" s="381" t="s">
        <v>54</v>
      </c>
      <c r="AS103" s="385" t="s">
        <v>54</v>
      </c>
      <c r="AT103" s="385" t="s">
        <v>54</v>
      </c>
      <c r="AU103" s="381" t="s">
        <v>54</v>
      </c>
      <c r="AV103" s="381" t="s">
        <v>54</v>
      </c>
      <c r="AW103" s="381" t="s">
        <v>54</v>
      </c>
      <c r="AX103" s="381" t="s">
        <v>54</v>
      </c>
      <c r="AY103" s="386" t="s">
        <v>54</v>
      </c>
      <c r="AZ103" s="397" t="s">
        <v>54</v>
      </c>
      <c r="BA103" s="490"/>
      <c r="BB103" s="397" t="s">
        <v>54</v>
      </c>
      <c r="BC103" s="490"/>
      <c r="BD103" s="397" t="s">
        <v>54</v>
      </c>
      <c r="BE103" s="397" t="s">
        <v>54</v>
      </c>
      <c r="BF103" s="397" t="s">
        <v>54</v>
      </c>
      <c r="BG103" s="381" t="s">
        <v>54</v>
      </c>
      <c r="BH103" s="381" t="s">
        <v>54</v>
      </c>
      <c r="BI103" s="381" t="s">
        <v>54</v>
      </c>
      <c r="BJ103" s="381" t="s">
        <v>54</v>
      </c>
      <c r="BK103" s="381" t="s">
        <v>54</v>
      </c>
      <c r="BL103" s="381" t="s">
        <v>54</v>
      </c>
      <c r="BM103" s="381" t="s">
        <v>54</v>
      </c>
      <c r="BN103" s="381" t="s">
        <v>54</v>
      </c>
      <c r="BO103" s="381" t="s">
        <v>54</v>
      </c>
      <c r="BP103" s="381" t="s">
        <v>54</v>
      </c>
      <c r="BQ103" s="381" t="s">
        <v>54</v>
      </c>
      <c r="BR103" s="381" t="s">
        <v>54</v>
      </c>
      <c r="BS103" s="381" t="s">
        <v>54</v>
      </c>
      <c r="BT103" s="381" t="s">
        <v>54</v>
      </c>
      <c r="BU103" s="383" t="s">
        <v>54</v>
      </c>
      <c r="BV103" s="381" t="s">
        <v>54</v>
      </c>
      <c r="BW103" s="381" t="s">
        <v>54</v>
      </c>
      <c r="BX103" s="381" t="s">
        <v>54</v>
      </c>
      <c r="BY103" s="381" t="s">
        <v>54</v>
      </c>
      <c r="BZ103" s="381" t="s">
        <v>54</v>
      </c>
      <c r="CA103" s="381" t="s">
        <v>54</v>
      </c>
      <c r="CB103" s="381" t="s">
        <v>54</v>
      </c>
      <c r="CC103" s="381" t="s">
        <v>54</v>
      </c>
      <c r="CD103" s="381" t="s">
        <v>54</v>
      </c>
      <c r="CE103" s="383" t="s">
        <v>54</v>
      </c>
      <c r="CF103" s="381" t="s">
        <v>54</v>
      </c>
      <c r="CG103" s="381" t="s">
        <v>54</v>
      </c>
      <c r="CH103" s="381" t="s">
        <v>54</v>
      </c>
      <c r="CI103" s="383" t="s">
        <v>54</v>
      </c>
      <c r="CJ103" s="381" t="s">
        <v>54</v>
      </c>
      <c r="CK103" s="381" t="s">
        <v>54</v>
      </c>
      <c r="CL103" s="381" t="s">
        <v>54</v>
      </c>
      <c r="CM103" s="499"/>
      <c r="CN103" s="499"/>
      <c r="CO103" s="493"/>
      <c r="CP103" s="493"/>
      <c r="CQ103" s="493"/>
      <c r="CR103" s="493"/>
      <c r="CS103" s="493"/>
      <c r="CT103" s="493"/>
      <c r="CU103" s="493"/>
      <c r="CV103" s="501"/>
      <c r="CW103" s="493"/>
      <c r="CX103" s="493"/>
      <c r="CY103" s="493"/>
      <c r="CZ103" s="493"/>
      <c r="DA103" s="493"/>
      <c r="DB103" s="493"/>
      <c r="DC103" s="493"/>
      <c r="DD103" s="497"/>
      <c r="DE103" s="493"/>
      <c r="DF103" s="493"/>
      <c r="DG103" s="497"/>
      <c r="DH103" s="497"/>
      <c r="DI103" s="497"/>
      <c r="DJ103" s="497"/>
      <c r="DK103" s="497"/>
      <c r="DL103" s="497"/>
      <c r="DM103" s="382" t="s">
        <v>54</v>
      </c>
      <c r="DN103" s="537"/>
      <c r="DO103" s="381" t="s">
        <v>54</v>
      </c>
      <c r="DP103" s="385" t="s">
        <v>54</v>
      </c>
      <c r="DQ103" s="385" t="s">
        <v>54</v>
      </c>
      <c r="DR103" s="381" t="s">
        <v>54</v>
      </c>
      <c r="DS103" s="381" t="s">
        <v>54</v>
      </c>
      <c r="DT103" s="381" t="s">
        <v>54</v>
      </c>
      <c r="DU103" s="381" t="s">
        <v>54</v>
      </c>
      <c r="DV103" s="381" t="s">
        <v>54</v>
      </c>
      <c r="DW103" s="381" t="s">
        <v>54</v>
      </c>
      <c r="DX103" s="537"/>
      <c r="DY103" s="405" t="s">
        <v>54</v>
      </c>
      <c r="DZ103" s="537"/>
      <c r="EA103" s="405" t="s">
        <v>54</v>
      </c>
      <c r="EB103" s="405" t="s">
        <v>54</v>
      </c>
      <c r="EC103" s="405" t="s">
        <v>54</v>
      </c>
      <c r="ED103" s="381" t="s">
        <v>54</v>
      </c>
      <c r="EE103" s="381" t="s">
        <v>54</v>
      </c>
      <c r="EF103" s="381" t="s">
        <v>54</v>
      </c>
      <c r="EG103" s="381" t="s">
        <v>54</v>
      </c>
      <c r="EH103" s="381" t="s">
        <v>54</v>
      </c>
      <c r="EI103" s="381" t="s">
        <v>54</v>
      </c>
      <c r="EJ103" s="381" t="s">
        <v>54</v>
      </c>
      <c r="EK103" s="381" t="s">
        <v>54</v>
      </c>
      <c r="EL103" s="381" t="s">
        <v>54</v>
      </c>
      <c r="EM103" s="381" t="s">
        <v>54</v>
      </c>
      <c r="EN103" s="381" t="s">
        <v>54</v>
      </c>
      <c r="EO103" s="381" t="s">
        <v>54</v>
      </c>
      <c r="EP103" s="381" t="s">
        <v>54</v>
      </c>
      <c r="EQ103" s="381" t="s">
        <v>54</v>
      </c>
      <c r="ER103" s="381" t="s">
        <v>54</v>
      </c>
      <c r="ES103" s="381" t="s">
        <v>54</v>
      </c>
      <c r="ET103" s="381" t="s">
        <v>54</v>
      </c>
      <c r="EU103" s="381" t="s">
        <v>54</v>
      </c>
    </row>
    <row r="104" spans="1:151" s="1" customFormat="1" ht="19.899999999999999" customHeight="1">
      <c r="A104" s="494"/>
      <c r="B104" s="494"/>
      <c r="C104" s="488"/>
      <c r="D104" s="511"/>
      <c r="E104" s="508"/>
      <c r="F104" s="511"/>
      <c r="G104" s="515"/>
      <c r="H104" s="511"/>
      <c r="I104" s="511"/>
      <c r="J104" s="511"/>
      <c r="K104" s="494"/>
      <c r="L104" s="498"/>
      <c r="M104" s="494"/>
      <c r="N104" s="488"/>
      <c r="O104" s="515"/>
      <c r="P104" s="527"/>
      <c r="Q104" s="494"/>
      <c r="R104" s="381" t="s">
        <v>54</v>
      </c>
      <c r="S104" s="381" t="s">
        <v>54</v>
      </c>
      <c r="T104" s="381" t="s">
        <v>54</v>
      </c>
      <c r="U104" s="381" t="s">
        <v>54</v>
      </c>
      <c r="V104" s="381" t="s">
        <v>54</v>
      </c>
      <c r="W104" s="381" t="s">
        <v>54</v>
      </c>
      <c r="X104" s="490"/>
      <c r="Y104" s="381" t="s">
        <v>54</v>
      </c>
      <c r="Z104" s="521"/>
      <c r="AA104" s="381" t="s">
        <v>54</v>
      </c>
      <c r="AB104" s="494"/>
      <c r="AC104" s="381" t="s">
        <v>54</v>
      </c>
      <c r="AD104" s="494"/>
      <c r="AE104" s="381" t="s">
        <v>54</v>
      </c>
      <c r="AF104" s="381" t="s">
        <v>54</v>
      </c>
      <c r="AG104" s="381" t="s">
        <v>54</v>
      </c>
      <c r="AH104" s="381" t="s">
        <v>54</v>
      </c>
      <c r="AI104" s="381" t="s">
        <v>54</v>
      </c>
      <c r="AJ104" s="485"/>
      <c r="AK104" s="485"/>
      <c r="AL104" s="485"/>
      <c r="AM104" s="485"/>
      <c r="AN104" s="485"/>
      <c r="AO104" s="485"/>
      <c r="AP104" s="381" t="s">
        <v>54</v>
      </c>
      <c r="AQ104" s="488"/>
      <c r="AR104" s="381" t="s">
        <v>54</v>
      </c>
      <c r="AS104" s="385" t="s">
        <v>54</v>
      </c>
      <c r="AT104" s="385" t="s">
        <v>54</v>
      </c>
      <c r="AU104" s="381" t="s">
        <v>54</v>
      </c>
      <c r="AV104" s="381" t="s">
        <v>54</v>
      </c>
      <c r="AW104" s="381" t="s">
        <v>54</v>
      </c>
      <c r="AX104" s="381" t="s">
        <v>54</v>
      </c>
      <c r="AY104" s="386" t="s">
        <v>54</v>
      </c>
      <c r="AZ104" s="397" t="s">
        <v>54</v>
      </c>
      <c r="BA104" s="490"/>
      <c r="BB104" s="397" t="s">
        <v>54</v>
      </c>
      <c r="BC104" s="490"/>
      <c r="BD104" s="397" t="s">
        <v>54</v>
      </c>
      <c r="BE104" s="397" t="s">
        <v>54</v>
      </c>
      <c r="BF104" s="397" t="s">
        <v>54</v>
      </c>
      <c r="BG104" s="381" t="s">
        <v>54</v>
      </c>
      <c r="BH104" s="381" t="s">
        <v>54</v>
      </c>
      <c r="BI104" s="381" t="s">
        <v>54</v>
      </c>
      <c r="BJ104" s="381" t="s">
        <v>54</v>
      </c>
      <c r="BK104" s="381" t="s">
        <v>54</v>
      </c>
      <c r="BL104" s="381" t="s">
        <v>54</v>
      </c>
      <c r="BM104" s="381" t="s">
        <v>54</v>
      </c>
      <c r="BN104" s="381" t="s">
        <v>54</v>
      </c>
      <c r="BO104" s="381" t="s">
        <v>54</v>
      </c>
      <c r="BP104" s="381" t="s">
        <v>54</v>
      </c>
      <c r="BQ104" s="381" t="s">
        <v>54</v>
      </c>
      <c r="BR104" s="381" t="s">
        <v>54</v>
      </c>
      <c r="BS104" s="381" t="s">
        <v>54</v>
      </c>
      <c r="BT104" s="381" t="s">
        <v>54</v>
      </c>
      <c r="BU104" s="383" t="s">
        <v>54</v>
      </c>
      <c r="BV104" s="381" t="s">
        <v>54</v>
      </c>
      <c r="BW104" s="381" t="s">
        <v>54</v>
      </c>
      <c r="BX104" s="381" t="s">
        <v>54</v>
      </c>
      <c r="BY104" s="381" t="s">
        <v>54</v>
      </c>
      <c r="BZ104" s="381" t="s">
        <v>54</v>
      </c>
      <c r="CA104" s="381" t="s">
        <v>54</v>
      </c>
      <c r="CB104" s="381" t="s">
        <v>54</v>
      </c>
      <c r="CC104" s="381" t="s">
        <v>54</v>
      </c>
      <c r="CD104" s="381" t="s">
        <v>54</v>
      </c>
      <c r="CE104" s="383" t="s">
        <v>54</v>
      </c>
      <c r="CF104" s="381" t="s">
        <v>54</v>
      </c>
      <c r="CG104" s="381" t="s">
        <v>54</v>
      </c>
      <c r="CH104" s="381" t="s">
        <v>54</v>
      </c>
      <c r="CI104" s="383" t="s">
        <v>54</v>
      </c>
      <c r="CJ104" s="381" t="s">
        <v>54</v>
      </c>
      <c r="CK104" s="381" t="s">
        <v>54</v>
      </c>
      <c r="CL104" s="381" t="s">
        <v>54</v>
      </c>
      <c r="CM104" s="500"/>
      <c r="CN104" s="500"/>
      <c r="CO104" s="494"/>
      <c r="CP104" s="494"/>
      <c r="CQ104" s="494"/>
      <c r="CR104" s="494"/>
      <c r="CS104" s="494"/>
      <c r="CT104" s="494"/>
      <c r="CU104" s="494"/>
      <c r="CV104" s="501"/>
      <c r="CW104" s="494"/>
      <c r="CX104" s="494"/>
      <c r="CY104" s="494"/>
      <c r="CZ104" s="494"/>
      <c r="DA104" s="494"/>
      <c r="DB104" s="494"/>
      <c r="DC104" s="494"/>
      <c r="DD104" s="498"/>
      <c r="DE104" s="494"/>
      <c r="DF104" s="494"/>
      <c r="DG104" s="498"/>
      <c r="DH104" s="498"/>
      <c r="DI104" s="498"/>
      <c r="DJ104" s="498"/>
      <c r="DK104" s="498"/>
      <c r="DL104" s="498"/>
      <c r="DM104" s="382" t="s">
        <v>54</v>
      </c>
      <c r="DN104" s="537"/>
      <c r="DO104" s="381" t="s">
        <v>54</v>
      </c>
      <c r="DP104" s="385" t="s">
        <v>54</v>
      </c>
      <c r="DQ104" s="385" t="s">
        <v>54</v>
      </c>
      <c r="DR104" s="381" t="s">
        <v>54</v>
      </c>
      <c r="DS104" s="381" t="s">
        <v>54</v>
      </c>
      <c r="DT104" s="381" t="s">
        <v>54</v>
      </c>
      <c r="DU104" s="381" t="s">
        <v>54</v>
      </c>
      <c r="DV104" s="381" t="s">
        <v>54</v>
      </c>
      <c r="DW104" s="381" t="s">
        <v>54</v>
      </c>
      <c r="DX104" s="537"/>
      <c r="DY104" s="405" t="s">
        <v>54</v>
      </c>
      <c r="DZ104" s="537"/>
      <c r="EA104" s="405" t="s">
        <v>54</v>
      </c>
      <c r="EB104" s="405" t="s">
        <v>54</v>
      </c>
      <c r="EC104" s="405" t="s">
        <v>54</v>
      </c>
      <c r="ED104" s="381" t="s">
        <v>54</v>
      </c>
      <c r="EE104" s="381" t="s">
        <v>54</v>
      </c>
      <c r="EF104" s="381" t="s">
        <v>54</v>
      </c>
      <c r="EG104" s="381" t="s">
        <v>54</v>
      </c>
      <c r="EH104" s="381" t="s">
        <v>54</v>
      </c>
      <c r="EI104" s="381" t="s">
        <v>54</v>
      </c>
      <c r="EJ104" s="381" t="s">
        <v>54</v>
      </c>
      <c r="EK104" s="381" t="s">
        <v>54</v>
      </c>
      <c r="EL104" s="381" t="s">
        <v>54</v>
      </c>
      <c r="EM104" s="381" t="s">
        <v>54</v>
      </c>
      <c r="EN104" s="381" t="s">
        <v>54</v>
      </c>
      <c r="EO104" s="381" t="s">
        <v>54</v>
      </c>
      <c r="EP104" s="381" t="s">
        <v>54</v>
      </c>
      <c r="EQ104" s="381" t="s">
        <v>54</v>
      </c>
      <c r="ER104" s="381" t="s">
        <v>54</v>
      </c>
      <c r="ES104" s="381" t="s">
        <v>54</v>
      </c>
      <c r="ET104" s="381" t="s">
        <v>54</v>
      </c>
      <c r="EU104" s="381" t="s">
        <v>54</v>
      </c>
    </row>
    <row r="105" spans="1:151" s="1" customFormat="1" ht="19.899999999999999" customHeight="1">
      <c r="A105" s="491">
        <v>12</v>
      </c>
      <c r="B105" s="491">
        <v>12</v>
      </c>
      <c r="C105" s="486" t="s">
        <v>2797</v>
      </c>
      <c r="D105" s="491" t="s">
        <v>3024</v>
      </c>
      <c r="E105" s="495" t="s">
        <v>2924</v>
      </c>
      <c r="F105" s="491" t="s">
        <v>3056</v>
      </c>
      <c r="G105" s="512" t="s">
        <v>3040</v>
      </c>
      <c r="H105" s="491" t="s">
        <v>2996</v>
      </c>
      <c r="I105" s="491" t="s">
        <v>3057</v>
      </c>
      <c r="J105" s="491" t="s">
        <v>52</v>
      </c>
      <c r="K105" s="516" t="s">
        <v>3127</v>
      </c>
      <c r="L105" s="495" t="s">
        <v>3133</v>
      </c>
      <c r="M105" s="491" t="s">
        <v>3025</v>
      </c>
      <c r="N105" s="486" t="s">
        <v>3133</v>
      </c>
      <c r="O105" s="512" t="s">
        <v>3041</v>
      </c>
      <c r="P105" s="517" t="s">
        <v>2902</v>
      </c>
      <c r="Q105" s="491">
        <v>1</v>
      </c>
      <c r="R105" s="381" t="s">
        <v>52</v>
      </c>
      <c r="S105" s="381" t="s">
        <v>52</v>
      </c>
      <c r="T105" s="381" t="s">
        <v>52</v>
      </c>
      <c r="U105" s="381" t="s">
        <v>52</v>
      </c>
      <c r="V105" s="381" t="s">
        <v>52</v>
      </c>
      <c r="W105" s="381" t="s">
        <v>52</v>
      </c>
      <c r="X105" s="489">
        <v>660</v>
      </c>
      <c r="Y105" s="381" t="s">
        <v>52</v>
      </c>
      <c r="Z105" s="520">
        <v>74</v>
      </c>
      <c r="AA105" s="381" t="s">
        <v>52</v>
      </c>
      <c r="AB105" s="491">
        <f t="shared" ref="AB105" si="13">X105</f>
        <v>660</v>
      </c>
      <c r="AC105" s="381" t="s">
        <v>52</v>
      </c>
      <c r="AD105" s="491">
        <f>275+166</f>
        <v>441</v>
      </c>
      <c r="AE105" s="381" t="s">
        <v>52</v>
      </c>
      <c r="AF105" s="381" t="s">
        <v>52</v>
      </c>
      <c r="AG105" s="381" t="s">
        <v>52</v>
      </c>
      <c r="AH105" s="381" t="s">
        <v>52</v>
      </c>
      <c r="AI105" s="381" t="s">
        <v>52</v>
      </c>
      <c r="AJ105" s="483" t="s">
        <v>54</v>
      </c>
      <c r="AK105" s="483" t="s">
        <v>54</v>
      </c>
      <c r="AL105" s="483" t="s">
        <v>54</v>
      </c>
      <c r="AM105" s="483" t="s">
        <v>54</v>
      </c>
      <c r="AN105" s="483" t="s">
        <v>54</v>
      </c>
      <c r="AO105" s="483" t="s">
        <v>54</v>
      </c>
      <c r="AP105" s="381" t="s">
        <v>54</v>
      </c>
      <c r="AQ105" s="486" t="s">
        <v>54</v>
      </c>
      <c r="AR105" s="381" t="s">
        <v>54</v>
      </c>
      <c r="AS105" s="385" t="s">
        <v>54</v>
      </c>
      <c r="AT105" s="385" t="s">
        <v>54</v>
      </c>
      <c r="AU105" s="381" t="s">
        <v>54</v>
      </c>
      <c r="AV105" s="381" t="s">
        <v>54</v>
      </c>
      <c r="AW105" s="381" t="s">
        <v>54</v>
      </c>
      <c r="AX105" s="381" t="s">
        <v>54</v>
      </c>
      <c r="AY105" s="386" t="s">
        <v>54</v>
      </c>
      <c r="AZ105" s="397" t="s">
        <v>54</v>
      </c>
      <c r="BA105" s="489" t="s">
        <v>54</v>
      </c>
      <c r="BB105" s="397" t="s">
        <v>54</v>
      </c>
      <c r="BC105" s="489" t="s">
        <v>54</v>
      </c>
      <c r="BD105" s="397" t="s">
        <v>54</v>
      </c>
      <c r="BE105" s="397" t="s">
        <v>54</v>
      </c>
      <c r="BF105" s="397" t="s">
        <v>54</v>
      </c>
      <c r="BG105" s="381" t="s">
        <v>54</v>
      </c>
      <c r="BH105" s="381" t="s">
        <v>54</v>
      </c>
      <c r="BI105" s="381" t="s">
        <v>54</v>
      </c>
      <c r="BJ105" s="381" t="s">
        <v>54</v>
      </c>
      <c r="BK105" s="381" t="s">
        <v>54</v>
      </c>
      <c r="BL105" s="381" t="s">
        <v>54</v>
      </c>
      <c r="BM105" s="381" t="s">
        <v>54</v>
      </c>
      <c r="BN105" s="381" t="s">
        <v>54</v>
      </c>
      <c r="BO105" s="381" t="s">
        <v>54</v>
      </c>
      <c r="BP105" s="381" t="s">
        <v>54</v>
      </c>
      <c r="BQ105" s="381" t="s">
        <v>54</v>
      </c>
      <c r="BR105" s="381" t="s">
        <v>54</v>
      </c>
      <c r="BS105" s="381" t="s">
        <v>54</v>
      </c>
      <c r="BT105" s="381" t="s">
        <v>54</v>
      </c>
      <c r="BU105" s="383" t="s">
        <v>54</v>
      </c>
      <c r="BV105" s="381" t="s">
        <v>54</v>
      </c>
      <c r="BW105" s="381" t="s">
        <v>54</v>
      </c>
      <c r="BX105" s="381" t="s">
        <v>54</v>
      </c>
      <c r="BY105" s="381" t="s">
        <v>54</v>
      </c>
      <c r="BZ105" s="381" t="s">
        <v>54</v>
      </c>
      <c r="CA105" s="381" t="s">
        <v>54</v>
      </c>
      <c r="CB105" s="381" t="s">
        <v>54</v>
      </c>
      <c r="CC105" s="381" t="s">
        <v>54</v>
      </c>
      <c r="CD105" s="381" t="s">
        <v>54</v>
      </c>
      <c r="CE105" s="383" t="s">
        <v>54</v>
      </c>
      <c r="CF105" s="381" t="s">
        <v>54</v>
      </c>
      <c r="CG105" s="381" t="s">
        <v>54</v>
      </c>
      <c r="CH105" s="381" t="s">
        <v>54</v>
      </c>
      <c r="CI105" s="383" t="s">
        <v>54</v>
      </c>
      <c r="CJ105" s="381" t="s">
        <v>54</v>
      </c>
      <c r="CK105" s="381" t="s">
        <v>54</v>
      </c>
      <c r="CL105" s="381" t="s">
        <v>54</v>
      </c>
      <c r="CM105" s="483" t="s">
        <v>54</v>
      </c>
      <c r="CN105" s="483" t="s">
        <v>54</v>
      </c>
      <c r="CO105" s="491" t="s">
        <v>54</v>
      </c>
      <c r="CP105" s="491" t="s">
        <v>54</v>
      </c>
      <c r="CQ105" s="491" t="s">
        <v>54</v>
      </c>
      <c r="CR105" s="491" t="s">
        <v>54</v>
      </c>
      <c r="CS105" s="491" t="s">
        <v>54</v>
      </c>
      <c r="CT105" s="491" t="s">
        <v>2026</v>
      </c>
      <c r="CU105" s="491">
        <v>2019</v>
      </c>
      <c r="CV105" s="501" t="s">
        <v>2864</v>
      </c>
      <c r="CW105" s="491" t="s">
        <v>1975</v>
      </c>
      <c r="CX105" s="491" t="s">
        <v>54</v>
      </c>
      <c r="CY105" s="491" t="s">
        <v>54</v>
      </c>
      <c r="CZ105" s="491" t="s">
        <v>54</v>
      </c>
      <c r="DA105" s="491" t="s">
        <v>54</v>
      </c>
      <c r="DB105" s="491" t="s">
        <v>54</v>
      </c>
      <c r="DC105" s="491" t="s">
        <v>2997</v>
      </c>
      <c r="DD105" s="495" t="s">
        <v>3099</v>
      </c>
      <c r="DE105" s="491" t="s">
        <v>2998</v>
      </c>
      <c r="DF105" s="491" t="s">
        <v>52</v>
      </c>
      <c r="DG105" s="495" t="s">
        <v>54</v>
      </c>
      <c r="DH105" s="495" t="s">
        <v>54</v>
      </c>
      <c r="DI105" s="495" t="s">
        <v>54</v>
      </c>
      <c r="DJ105" s="495" t="s">
        <v>54</v>
      </c>
      <c r="DK105" s="495" t="s">
        <v>54</v>
      </c>
      <c r="DL105" s="495" t="s">
        <v>54</v>
      </c>
      <c r="DM105" s="382" t="s">
        <v>54</v>
      </c>
      <c r="DN105" s="536" t="s">
        <v>54</v>
      </c>
      <c r="DO105" s="381" t="s">
        <v>54</v>
      </c>
      <c r="DP105" s="385" t="s">
        <v>54</v>
      </c>
      <c r="DQ105" s="385" t="s">
        <v>54</v>
      </c>
      <c r="DR105" s="381" t="s">
        <v>54</v>
      </c>
      <c r="DS105" s="381" t="s">
        <v>54</v>
      </c>
      <c r="DT105" s="381" t="s">
        <v>54</v>
      </c>
      <c r="DU105" s="381" t="s">
        <v>54</v>
      </c>
      <c r="DV105" s="381" t="s">
        <v>54</v>
      </c>
      <c r="DW105" s="381" t="s">
        <v>54</v>
      </c>
      <c r="DX105" s="536" t="s">
        <v>54</v>
      </c>
      <c r="DY105" s="405" t="s">
        <v>54</v>
      </c>
      <c r="DZ105" s="536" t="s">
        <v>54</v>
      </c>
      <c r="EA105" s="405" t="s">
        <v>54</v>
      </c>
      <c r="EB105" s="405" t="s">
        <v>54</v>
      </c>
      <c r="EC105" s="405" t="s">
        <v>54</v>
      </c>
      <c r="ED105" s="381" t="s">
        <v>54</v>
      </c>
      <c r="EE105" s="381" t="s">
        <v>54</v>
      </c>
      <c r="EF105" s="381" t="s">
        <v>54</v>
      </c>
      <c r="EG105" s="381" t="s">
        <v>54</v>
      </c>
      <c r="EH105" s="381" t="s">
        <v>54</v>
      </c>
      <c r="EI105" s="381" t="s">
        <v>54</v>
      </c>
      <c r="EJ105" s="381" t="s">
        <v>54</v>
      </c>
      <c r="EK105" s="381" t="s">
        <v>54</v>
      </c>
      <c r="EL105" s="381" t="s">
        <v>54</v>
      </c>
      <c r="EM105" s="381" t="s">
        <v>54</v>
      </c>
      <c r="EN105" s="381" t="s">
        <v>54</v>
      </c>
      <c r="EO105" s="381" t="s">
        <v>54</v>
      </c>
      <c r="EP105" s="381" t="s">
        <v>54</v>
      </c>
      <c r="EQ105" s="381" t="s">
        <v>54</v>
      </c>
      <c r="ER105" s="381" t="s">
        <v>54</v>
      </c>
      <c r="ES105" s="381" t="s">
        <v>54</v>
      </c>
      <c r="ET105" s="381" t="s">
        <v>54</v>
      </c>
      <c r="EU105" s="381" t="s">
        <v>54</v>
      </c>
    </row>
    <row r="106" spans="1:151" s="1" customFormat="1" ht="19.899999999999999" customHeight="1">
      <c r="A106" s="492"/>
      <c r="B106" s="492"/>
      <c r="C106" s="487"/>
      <c r="D106" s="509"/>
      <c r="E106" s="506"/>
      <c r="F106" s="509"/>
      <c r="G106" s="513"/>
      <c r="H106" s="509"/>
      <c r="I106" s="509"/>
      <c r="J106" s="509"/>
      <c r="K106" s="492"/>
      <c r="L106" s="496"/>
      <c r="M106" s="492"/>
      <c r="N106" s="487"/>
      <c r="O106" s="513"/>
      <c r="P106" s="518"/>
      <c r="Q106" s="492"/>
      <c r="R106" s="381" t="s">
        <v>54</v>
      </c>
      <c r="S106" s="381" t="s">
        <v>54</v>
      </c>
      <c r="T106" s="381" t="s">
        <v>54</v>
      </c>
      <c r="U106" s="381" t="s">
        <v>54</v>
      </c>
      <c r="V106" s="381" t="s">
        <v>54</v>
      </c>
      <c r="W106" s="381" t="s">
        <v>54</v>
      </c>
      <c r="X106" s="490"/>
      <c r="Y106" s="381" t="s">
        <v>54</v>
      </c>
      <c r="Z106" s="521"/>
      <c r="AA106" s="381" t="s">
        <v>54</v>
      </c>
      <c r="AB106" s="492"/>
      <c r="AC106" s="381" t="s">
        <v>54</v>
      </c>
      <c r="AD106" s="492"/>
      <c r="AE106" s="381" t="s">
        <v>54</v>
      </c>
      <c r="AF106" s="381" t="s">
        <v>54</v>
      </c>
      <c r="AG106" s="381" t="s">
        <v>54</v>
      </c>
      <c r="AH106" s="381" t="s">
        <v>54</v>
      </c>
      <c r="AI106" s="381" t="s">
        <v>54</v>
      </c>
      <c r="AJ106" s="484"/>
      <c r="AK106" s="484"/>
      <c r="AL106" s="484"/>
      <c r="AM106" s="484"/>
      <c r="AN106" s="484"/>
      <c r="AO106" s="484"/>
      <c r="AP106" s="381" t="s">
        <v>54</v>
      </c>
      <c r="AQ106" s="487"/>
      <c r="AR106" s="381" t="s">
        <v>54</v>
      </c>
      <c r="AS106" s="385" t="s">
        <v>54</v>
      </c>
      <c r="AT106" s="385" t="s">
        <v>54</v>
      </c>
      <c r="AU106" s="381" t="s">
        <v>54</v>
      </c>
      <c r="AV106" s="381" t="s">
        <v>54</v>
      </c>
      <c r="AW106" s="381" t="s">
        <v>54</v>
      </c>
      <c r="AX106" s="381" t="s">
        <v>54</v>
      </c>
      <c r="AY106" s="386" t="s">
        <v>54</v>
      </c>
      <c r="AZ106" s="397" t="s">
        <v>54</v>
      </c>
      <c r="BA106" s="490"/>
      <c r="BB106" s="397" t="s">
        <v>54</v>
      </c>
      <c r="BC106" s="490"/>
      <c r="BD106" s="397" t="s">
        <v>54</v>
      </c>
      <c r="BE106" s="397" t="s">
        <v>54</v>
      </c>
      <c r="BF106" s="397" t="s">
        <v>54</v>
      </c>
      <c r="BG106" s="381" t="s">
        <v>54</v>
      </c>
      <c r="BH106" s="381" t="s">
        <v>54</v>
      </c>
      <c r="BI106" s="381" t="s">
        <v>54</v>
      </c>
      <c r="BJ106" s="381" t="s">
        <v>54</v>
      </c>
      <c r="BK106" s="381" t="s">
        <v>54</v>
      </c>
      <c r="BL106" s="381" t="s">
        <v>54</v>
      </c>
      <c r="BM106" s="381" t="s">
        <v>54</v>
      </c>
      <c r="BN106" s="381" t="s">
        <v>54</v>
      </c>
      <c r="BO106" s="381" t="s">
        <v>54</v>
      </c>
      <c r="BP106" s="381" t="s">
        <v>54</v>
      </c>
      <c r="BQ106" s="381" t="s">
        <v>54</v>
      </c>
      <c r="BR106" s="381" t="s">
        <v>54</v>
      </c>
      <c r="BS106" s="381" t="s">
        <v>54</v>
      </c>
      <c r="BT106" s="381" t="s">
        <v>54</v>
      </c>
      <c r="BU106" s="383" t="s">
        <v>54</v>
      </c>
      <c r="BV106" s="381" t="s">
        <v>54</v>
      </c>
      <c r="BW106" s="381" t="s">
        <v>54</v>
      </c>
      <c r="BX106" s="381" t="s">
        <v>54</v>
      </c>
      <c r="BY106" s="381" t="s">
        <v>54</v>
      </c>
      <c r="BZ106" s="381" t="s">
        <v>54</v>
      </c>
      <c r="CA106" s="381" t="s">
        <v>54</v>
      </c>
      <c r="CB106" s="381" t="s">
        <v>54</v>
      </c>
      <c r="CC106" s="381" t="s">
        <v>54</v>
      </c>
      <c r="CD106" s="381" t="s">
        <v>54</v>
      </c>
      <c r="CE106" s="383" t="s">
        <v>54</v>
      </c>
      <c r="CF106" s="381" t="s">
        <v>54</v>
      </c>
      <c r="CG106" s="381" t="s">
        <v>54</v>
      </c>
      <c r="CH106" s="381" t="s">
        <v>54</v>
      </c>
      <c r="CI106" s="383" t="s">
        <v>54</v>
      </c>
      <c r="CJ106" s="381" t="s">
        <v>54</v>
      </c>
      <c r="CK106" s="381" t="s">
        <v>54</v>
      </c>
      <c r="CL106" s="381" t="s">
        <v>54</v>
      </c>
      <c r="CM106" s="499"/>
      <c r="CN106" s="499"/>
      <c r="CO106" s="492"/>
      <c r="CP106" s="492"/>
      <c r="CQ106" s="492"/>
      <c r="CR106" s="492"/>
      <c r="CS106" s="492"/>
      <c r="CT106" s="492"/>
      <c r="CU106" s="492"/>
      <c r="CV106" s="501"/>
      <c r="CW106" s="492"/>
      <c r="CX106" s="492"/>
      <c r="CY106" s="492"/>
      <c r="CZ106" s="492"/>
      <c r="DA106" s="492"/>
      <c r="DB106" s="492"/>
      <c r="DC106" s="492"/>
      <c r="DD106" s="496"/>
      <c r="DE106" s="492"/>
      <c r="DF106" s="492"/>
      <c r="DG106" s="496"/>
      <c r="DH106" s="496"/>
      <c r="DI106" s="496"/>
      <c r="DJ106" s="496"/>
      <c r="DK106" s="496"/>
      <c r="DL106" s="496"/>
      <c r="DM106" s="382" t="s">
        <v>54</v>
      </c>
      <c r="DN106" s="537"/>
      <c r="DO106" s="381" t="s">
        <v>54</v>
      </c>
      <c r="DP106" s="385" t="s">
        <v>54</v>
      </c>
      <c r="DQ106" s="385" t="s">
        <v>54</v>
      </c>
      <c r="DR106" s="381" t="s">
        <v>54</v>
      </c>
      <c r="DS106" s="381" t="s">
        <v>54</v>
      </c>
      <c r="DT106" s="381" t="s">
        <v>54</v>
      </c>
      <c r="DU106" s="381" t="s">
        <v>54</v>
      </c>
      <c r="DV106" s="381" t="s">
        <v>54</v>
      </c>
      <c r="DW106" s="381" t="s">
        <v>54</v>
      </c>
      <c r="DX106" s="537"/>
      <c r="DY106" s="405" t="s">
        <v>54</v>
      </c>
      <c r="DZ106" s="537"/>
      <c r="EA106" s="405" t="s">
        <v>54</v>
      </c>
      <c r="EB106" s="405" t="s">
        <v>54</v>
      </c>
      <c r="EC106" s="405" t="s">
        <v>54</v>
      </c>
      <c r="ED106" s="381" t="s">
        <v>54</v>
      </c>
      <c r="EE106" s="381" t="s">
        <v>54</v>
      </c>
      <c r="EF106" s="381" t="s">
        <v>54</v>
      </c>
      <c r="EG106" s="381" t="s">
        <v>54</v>
      </c>
      <c r="EH106" s="381" t="s">
        <v>54</v>
      </c>
      <c r="EI106" s="381" t="s">
        <v>54</v>
      </c>
      <c r="EJ106" s="381" t="s">
        <v>54</v>
      </c>
      <c r="EK106" s="381" t="s">
        <v>54</v>
      </c>
      <c r="EL106" s="381" t="s">
        <v>54</v>
      </c>
      <c r="EM106" s="381" t="s">
        <v>54</v>
      </c>
      <c r="EN106" s="381" t="s">
        <v>54</v>
      </c>
      <c r="EO106" s="381" t="s">
        <v>54</v>
      </c>
      <c r="EP106" s="381" t="s">
        <v>54</v>
      </c>
      <c r="EQ106" s="381" t="s">
        <v>54</v>
      </c>
      <c r="ER106" s="381" t="s">
        <v>54</v>
      </c>
      <c r="ES106" s="381" t="s">
        <v>54</v>
      </c>
      <c r="ET106" s="381" t="s">
        <v>54</v>
      </c>
      <c r="EU106" s="381" t="s">
        <v>54</v>
      </c>
    </row>
    <row r="107" spans="1:151" s="1" customFormat="1" ht="19.899999999999999" customHeight="1">
      <c r="A107" s="493"/>
      <c r="B107" s="493"/>
      <c r="C107" s="487"/>
      <c r="D107" s="510"/>
      <c r="E107" s="507"/>
      <c r="F107" s="510"/>
      <c r="G107" s="514"/>
      <c r="H107" s="510"/>
      <c r="I107" s="510"/>
      <c r="J107" s="510"/>
      <c r="K107" s="493"/>
      <c r="L107" s="497"/>
      <c r="M107" s="493"/>
      <c r="N107" s="487"/>
      <c r="O107" s="514"/>
      <c r="P107" s="518"/>
      <c r="Q107" s="493"/>
      <c r="R107" s="381" t="s">
        <v>54</v>
      </c>
      <c r="S107" s="381" t="s">
        <v>54</v>
      </c>
      <c r="T107" s="381" t="s">
        <v>54</v>
      </c>
      <c r="U107" s="381" t="s">
        <v>54</v>
      </c>
      <c r="V107" s="381" t="s">
        <v>54</v>
      </c>
      <c r="W107" s="381" t="s">
        <v>54</v>
      </c>
      <c r="X107" s="490"/>
      <c r="Y107" s="381" t="s">
        <v>54</v>
      </c>
      <c r="Z107" s="521"/>
      <c r="AA107" s="381" t="s">
        <v>54</v>
      </c>
      <c r="AB107" s="493"/>
      <c r="AC107" s="381" t="s">
        <v>54</v>
      </c>
      <c r="AD107" s="493"/>
      <c r="AE107" s="381" t="s">
        <v>54</v>
      </c>
      <c r="AF107" s="381" t="s">
        <v>54</v>
      </c>
      <c r="AG107" s="381" t="s">
        <v>54</v>
      </c>
      <c r="AH107" s="381" t="s">
        <v>54</v>
      </c>
      <c r="AI107" s="381" t="s">
        <v>54</v>
      </c>
      <c r="AJ107" s="484"/>
      <c r="AK107" s="484"/>
      <c r="AL107" s="484"/>
      <c r="AM107" s="484"/>
      <c r="AN107" s="484"/>
      <c r="AO107" s="484"/>
      <c r="AP107" s="381" t="s">
        <v>54</v>
      </c>
      <c r="AQ107" s="487"/>
      <c r="AR107" s="381" t="s">
        <v>54</v>
      </c>
      <c r="AS107" s="385" t="s">
        <v>54</v>
      </c>
      <c r="AT107" s="385" t="s">
        <v>54</v>
      </c>
      <c r="AU107" s="381" t="s">
        <v>54</v>
      </c>
      <c r="AV107" s="381" t="s">
        <v>54</v>
      </c>
      <c r="AW107" s="381" t="s">
        <v>54</v>
      </c>
      <c r="AX107" s="381" t="s">
        <v>54</v>
      </c>
      <c r="AY107" s="386" t="s">
        <v>54</v>
      </c>
      <c r="AZ107" s="397" t="s">
        <v>54</v>
      </c>
      <c r="BA107" s="490"/>
      <c r="BB107" s="397" t="s">
        <v>54</v>
      </c>
      <c r="BC107" s="490"/>
      <c r="BD107" s="397" t="s">
        <v>54</v>
      </c>
      <c r="BE107" s="397" t="s">
        <v>54</v>
      </c>
      <c r="BF107" s="397" t="s">
        <v>54</v>
      </c>
      <c r="BG107" s="381" t="s">
        <v>54</v>
      </c>
      <c r="BH107" s="381" t="s">
        <v>54</v>
      </c>
      <c r="BI107" s="381" t="s">
        <v>54</v>
      </c>
      <c r="BJ107" s="381" t="s">
        <v>54</v>
      </c>
      <c r="BK107" s="381" t="s">
        <v>54</v>
      </c>
      <c r="BL107" s="381" t="s">
        <v>54</v>
      </c>
      <c r="BM107" s="381" t="s">
        <v>54</v>
      </c>
      <c r="BN107" s="381" t="s">
        <v>54</v>
      </c>
      <c r="BO107" s="381" t="s">
        <v>54</v>
      </c>
      <c r="BP107" s="381" t="s">
        <v>54</v>
      </c>
      <c r="BQ107" s="381" t="s">
        <v>54</v>
      </c>
      <c r="BR107" s="381" t="s">
        <v>54</v>
      </c>
      <c r="BS107" s="381" t="s">
        <v>54</v>
      </c>
      <c r="BT107" s="381" t="s">
        <v>54</v>
      </c>
      <c r="BU107" s="383" t="s">
        <v>54</v>
      </c>
      <c r="BV107" s="381" t="s">
        <v>54</v>
      </c>
      <c r="BW107" s="381" t="s">
        <v>54</v>
      </c>
      <c r="BX107" s="381" t="s">
        <v>54</v>
      </c>
      <c r="BY107" s="381" t="s">
        <v>54</v>
      </c>
      <c r="BZ107" s="381" t="s">
        <v>54</v>
      </c>
      <c r="CA107" s="381" t="s">
        <v>54</v>
      </c>
      <c r="CB107" s="381" t="s">
        <v>54</v>
      </c>
      <c r="CC107" s="381" t="s">
        <v>54</v>
      </c>
      <c r="CD107" s="381" t="s">
        <v>54</v>
      </c>
      <c r="CE107" s="383" t="s">
        <v>54</v>
      </c>
      <c r="CF107" s="381" t="s">
        <v>54</v>
      </c>
      <c r="CG107" s="381" t="s">
        <v>54</v>
      </c>
      <c r="CH107" s="381" t="s">
        <v>54</v>
      </c>
      <c r="CI107" s="383" t="s">
        <v>54</v>
      </c>
      <c r="CJ107" s="381" t="s">
        <v>54</v>
      </c>
      <c r="CK107" s="381" t="s">
        <v>54</v>
      </c>
      <c r="CL107" s="381" t="s">
        <v>54</v>
      </c>
      <c r="CM107" s="499"/>
      <c r="CN107" s="499"/>
      <c r="CO107" s="493"/>
      <c r="CP107" s="493"/>
      <c r="CQ107" s="493"/>
      <c r="CR107" s="493"/>
      <c r="CS107" s="493"/>
      <c r="CT107" s="493"/>
      <c r="CU107" s="493"/>
      <c r="CV107" s="501"/>
      <c r="CW107" s="493"/>
      <c r="CX107" s="493"/>
      <c r="CY107" s="493"/>
      <c r="CZ107" s="493"/>
      <c r="DA107" s="493"/>
      <c r="DB107" s="493"/>
      <c r="DC107" s="493"/>
      <c r="DD107" s="497"/>
      <c r="DE107" s="493"/>
      <c r="DF107" s="493"/>
      <c r="DG107" s="497"/>
      <c r="DH107" s="497"/>
      <c r="DI107" s="497"/>
      <c r="DJ107" s="497"/>
      <c r="DK107" s="497"/>
      <c r="DL107" s="497"/>
      <c r="DM107" s="382" t="s">
        <v>54</v>
      </c>
      <c r="DN107" s="537"/>
      <c r="DO107" s="381" t="s">
        <v>54</v>
      </c>
      <c r="DP107" s="385" t="s">
        <v>54</v>
      </c>
      <c r="DQ107" s="385" t="s">
        <v>54</v>
      </c>
      <c r="DR107" s="381" t="s">
        <v>54</v>
      </c>
      <c r="DS107" s="381" t="s">
        <v>54</v>
      </c>
      <c r="DT107" s="381" t="s">
        <v>54</v>
      </c>
      <c r="DU107" s="381" t="s">
        <v>54</v>
      </c>
      <c r="DV107" s="381" t="s">
        <v>54</v>
      </c>
      <c r="DW107" s="381" t="s">
        <v>54</v>
      </c>
      <c r="DX107" s="537"/>
      <c r="DY107" s="405" t="s">
        <v>54</v>
      </c>
      <c r="DZ107" s="537"/>
      <c r="EA107" s="405" t="s">
        <v>54</v>
      </c>
      <c r="EB107" s="405" t="s">
        <v>54</v>
      </c>
      <c r="EC107" s="405" t="s">
        <v>54</v>
      </c>
      <c r="ED107" s="381" t="s">
        <v>54</v>
      </c>
      <c r="EE107" s="381" t="s">
        <v>54</v>
      </c>
      <c r="EF107" s="381" t="s">
        <v>54</v>
      </c>
      <c r="EG107" s="381" t="s">
        <v>54</v>
      </c>
      <c r="EH107" s="381" t="s">
        <v>54</v>
      </c>
      <c r="EI107" s="381" t="s">
        <v>54</v>
      </c>
      <c r="EJ107" s="381" t="s">
        <v>54</v>
      </c>
      <c r="EK107" s="381" t="s">
        <v>54</v>
      </c>
      <c r="EL107" s="381" t="s">
        <v>54</v>
      </c>
      <c r="EM107" s="381" t="s">
        <v>54</v>
      </c>
      <c r="EN107" s="381" t="s">
        <v>54</v>
      </c>
      <c r="EO107" s="381" t="s">
        <v>54</v>
      </c>
      <c r="EP107" s="381" t="s">
        <v>54</v>
      </c>
      <c r="EQ107" s="381" t="s">
        <v>54</v>
      </c>
      <c r="ER107" s="381" t="s">
        <v>54</v>
      </c>
      <c r="ES107" s="381" t="s">
        <v>54</v>
      </c>
      <c r="ET107" s="381" t="s">
        <v>54</v>
      </c>
      <c r="EU107" s="381" t="s">
        <v>54</v>
      </c>
    </row>
    <row r="108" spans="1:151" s="1" customFormat="1" ht="19.899999999999999" customHeight="1">
      <c r="A108" s="494"/>
      <c r="B108" s="494"/>
      <c r="C108" s="488"/>
      <c r="D108" s="511"/>
      <c r="E108" s="508"/>
      <c r="F108" s="511"/>
      <c r="G108" s="515"/>
      <c r="H108" s="511"/>
      <c r="I108" s="511"/>
      <c r="J108" s="511"/>
      <c r="K108" s="494"/>
      <c r="L108" s="498"/>
      <c r="M108" s="494"/>
      <c r="N108" s="488"/>
      <c r="O108" s="515"/>
      <c r="P108" s="519"/>
      <c r="Q108" s="494"/>
      <c r="R108" s="381" t="s">
        <v>54</v>
      </c>
      <c r="S108" s="381" t="s">
        <v>54</v>
      </c>
      <c r="T108" s="381" t="s">
        <v>54</v>
      </c>
      <c r="U108" s="381" t="s">
        <v>54</v>
      </c>
      <c r="V108" s="381" t="s">
        <v>54</v>
      </c>
      <c r="W108" s="381" t="s">
        <v>54</v>
      </c>
      <c r="X108" s="490"/>
      <c r="Y108" s="381" t="s">
        <v>54</v>
      </c>
      <c r="Z108" s="521"/>
      <c r="AA108" s="381" t="s">
        <v>54</v>
      </c>
      <c r="AB108" s="494"/>
      <c r="AC108" s="381" t="s">
        <v>54</v>
      </c>
      <c r="AD108" s="494"/>
      <c r="AE108" s="381" t="s">
        <v>54</v>
      </c>
      <c r="AF108" s="381" t="s">
        <v>54</v>
      </c>
      <c r="AG108" s="381" t="s">
        <v>54</v>
      </c>
      <c r="AH108" s="381" t="s">
        <v>54</v>
      </c>
      <c r="AI108" s="381" t="s">
        <v>54</v>
      </c>
      <c r="AJ108" s="485"/>
      <c r="AK108" s="485"/>
      <c r="AL108" s="485"/>
      <c r="AM108" s="485"/>
      <c r="AN108" s="485"/>
      <c r="AO108" s="485"/>
      <c r="AP108" s="381" t="s">
        <v>54</v>
      </c>
      <c r="AQ108" s="488"/>
      <c r="AR108" s="381" t="s">
        <v>54</v>
      </c>
      <c r="AS108" s="385" t="s">
        <v>54</v>
      </c>
      <c r="AT108" s="385" t="s">
        <v>54</v>
      </c>
      <c r="AU108" s="381" t="s">
        <v>54</v>
      </c>
      <c r="AV108" s="381" t="s">
        <v>54</v>
      </c>
      <c r="AW108" s="381" t="s">
        <v>54</v>
      </c>
      <c r="AX108" s="381" t="s">
        <v>54</v>
      </c>
      <c r="AY108" s="386" t="s">
        <v>54</v>
      </c>
      <c r="AZ108" s="397" t="s">
        <v>54</v>
      </c>
      <c r="BA108" s="490"/>
      <c r="BB108" s="397" t="s">
        <v>54</v>
      </c>
      <c r="BC108" s="490"/>
      <c r="BD108" s="397" t="s">
        <v>54</v>
      </c>
      <c r="BE108" s="397" t="s">
        <v>54</v>
      </c>
      <c r="BF108" s="397" t="s">
        <v>54</v>
      </c>
      <c r="BG108" s="381" t="s">
        <v>54</v>
      </c>
      <c r="BH108" s="381" t="s">
        <v>54</v>
      </c>
      <c r="BI108" s="381" t="s">
        <v>54</v>
      </c>
      <c r="BJ108" s="381" t="s">
        <v>54</v>
      </c>
      <c r="BK108" s="381" t="s">
        <v>54</v>
      </c>
      <c r="BL108" s="381" t="s">
        <v>54</v>
      </c>
      <c r="BM108" s="381" t="s">
        <v>54</v>
      </c>
      <c r="BN108" s="381" t="s">
        <v>54</v>
      </c>
      <c r="BO108" s="381" t="s">
        <v>54</v>
      </c>
      <c r="BP108" s="381" t="s">
        <v>54</v>
      </c>
      <c r="BQ108" s="381" t="s">
        <v>54</v>
      </c>
      <c r="BR108" s="381" t="s">
        <v>54</v>
      </c>
      <c r="BS108" s="381" t="s">
        <v>54</v>
      </c>
      <c r="BT108" s="381" t="s">
        <v>54</v>
      </c>
      <c r="BU108" s="383" t="s">
        <v>54</v>
      </c>
      <c r="BV108" s="381" t="s">
        <v>54</v>
      </c>
      <c r="BW108" s="381" t="s">
        <v>54</v>
      </c>
      <c r="BX108" s="381" t="s">
        <v>54</v>
      </c>
      <c r="BY108" s="381" t="s">
        <v>54</v>
      </c>
      <c r="BZ108" s="381" t="s">
        <v>54</v>
      </c>
      <c r="CA108" s="381" t="s">
        <v>54</v>
      </c>
      <c r="CB108" s="381" t="s">
        <v>54</v>
      </c>
      <c r="CC108" s="381" t="s">
        <v>54</v>
      </c>
      <c r="CD108" s="381" t="s">
        <v>54</v>
      </c>
      <c r="CE108" s="383" t="s">
        <v>54</v>
      </c>
      <c r="CF108" s="381" t="s">
        <v>54</v>
      </c>
      <c r="CG108" s="381" t="s">
        <v>54</v>
      </c>
      <c r="CH108" s="381" t="s">
        <v>54</v>
      </c>
      <c r="CI108" s="383" t="s">
        <v>54</v>
      </c>
      <c r="CJ108" s="381" t="s">
        <v>54</v>
      </c>
      <c r="CK108" s="381" t="s">
        <v>54</v>
      </c>
      <c r="CL108" s="381" t="s">
        <v>54</v>
      </c>
      <c r="CM108" s="500"/>
      <c r="CN108" s="500"/>
      <c r="CO108" s="494"/>
      <c r="CP108" s="494"/>
      <c r="CQ108" s="494"/>
      <c r="CR108" s="494"/>
      <c r="CS108" s="494"/>
      <c r="CT108" s="494"/>
      <c r="CU108" s="494"/>
      <c r="CV108" s="501"/>
      <c r="CW108" s="494"/>
      <c r="CX108" s="494"/>
      <c r="CY108" s="494"/>
      <c r="CZ108" s="494"/>
      <c r="DA108" s="494"/>
      <c r="DB108" s="494"/>
      <c r="DC108" s="494"/>
      <c r="DD108" s="498"/>
      <c r="DE108" s="494"/>
      <c r="DF108" s="494"/>
      <c r="DG108" s="498"/>
      <c r="DH108" s="498"/>
      <c r="DI108" s="498"/>
      <c r="DJ108" s="498"/>
      <c r="DK108" s="498"/>
      <c r="DL108" s="498"/>
      <c r="DM108" s="382" t="s">
        <v>54</v>
      </c>
      <c r="DN108" s="537"/>
      <c r="DO108" s="381" t="s">
        <v>54</v>
      </c>
      <c r="DP108" s="385" t="s">
        <v>54</v>
      </c>
      <c r="DQ108" s="385" t="s">
        <v>54</v>
      </c>
      <c r="DR108" s="381" t="s">
        <v>54</v>
      </c>
      <c r="DS108" s="381" t="s">
        <v>54</v>
      </c>
      <c r="DT108" s="381" t="s">
        <v>54</v>
      </c>
      <c r="DU108" s="381" t="s">
        <v>54</v>
      </c>
      <c r="DV108" s="381" t="s">
        <v>54</v>
      </c>
      <c r="DW108" s="381" t="s">
        <v>54</v>
      </c>
      <c r="DX108" s="537"/>
      <c r="DY108" s="405" t="s">
        <v>54</v>
      </c>
      <c r="DZ108" s="537"/>
      <c r="EA108" s="405" t="s">
        <v>54</v>
      </c>
      <c r="EB108" s="405" t="s">
        <v>54</v>
      </c>
      <c r="EC108" s="405" t="s">
        <v>54</v>
      </c>
      <c r="ED108" s="381" t="s">
        <v>54</v>
      </c>
      <c r="EE108" s="381" t="s">
        <v>54</v>
      </c>
      <c r="EF108" s="381" t="s">
        <v>54</v>
      </c>
      <c r="EG108" s="381" t="s">
        <v>54</v>
      </c>
      <c r="EH108" s="381" t="s">
        <v>54</v>
      </c>
      <c r="EI108" s="381" t="s">
        <v>54</v>
      </c>
      <c r="EJ108" s="381" t="s">
        <v>54</v>
      </c>
      <c r="EK108" s="381" t="s">
        <v>54</v>
      </c>
      <c r="EL108" s="381" t="s">
        <v>54</v>
      </c>
      <c r="EM108" s="381" t="s">
        <v>54</v>
      </c>
      <c r="EN108" s="381" t="s">
        <v>54</v>
      </c>
      <c r="EO108" s="381" t="s">
        <v>54</v>
      </c>
      <c r="EP108" s="381" t="s">
        <v>54</v>
      </c>
      <c r="EQ108" s="381" t="s">
        <v>54</v>
      </c>
      <c r="ER108" s="381" t="s">
        <v>54</v>
      </c>
      <c r="ES108" s="381" t="s">
        <v>54</v>
      </c>
      <c r="ET108" s="381" t="s">
        <v>54</v>
      </c>
      <c r="EU108" s="381" t="s">
        <v>54</v>
      </c>
    </row>
    <row r="109" spans="1:151" s="1" customFormat="1" ht="19.899999999999999" customHeight="1">
      <c r="A109" s="491">
        <v>13</v>
      </c>
      <c r="B109" s="491">
        <v>13</v>
      </c>
      <c r="C109" s="486" t="s">
        <v>2797</v>
      </c>
      <c r="D109" s="491" t="s">
        <v>3026</v>
      </c>
      <c r="E109" s="495" t="s">
        <v>2924</v>
      </c>
      <c r="F109" s="491" t="s">
        <v>3058</v>
      </c>
      <c r="G109" s="512" t="s">
        <v>3042</v>
      </c>
      <c r="H109" s="491" t="s">
        <v>2999</v>
      </c>
      <c r="I109" s="491" t="s">
        <v>3059</v>
      </c>
      <c r="J109" s="491" t="s">
        <v>52</v>
      </c>
      <c r="K109" s="516" t="s">
        <v>3128</v>
      </c>
      <c r="L109" s="495" t="s">
        <v>3133</v>
      </c>
      <c r="M109" s="491" t="s">
        <v>3027</v>
      </c>
      <c r="N109" s="486" t="s">
        <v>3133</v>
      </c>
      <c r="O109" s="512" t="s">
        <v>3043</v>
      </c>
      <c r="P109" s="517" t="s">
        <v>2902</v>
      </c>
      <c r="Q109" s="491">
        <v>1</v>
      </c>
      <c r="R109" s="381" t="s">
        <v>2968</v>
      </c>
      <c r="S109" s="381" t="s">
        <v>52</v>
      </c>
      <c r="T109" s="381" t="s">
        <v>52</v>
      </c>
      <c r="U109" s="381" t="s">
        <v>52</v>
      </c>
      <c r="V109" s="381" t="s">
        <v>52</v>
      </c>
      <c r="W109" s="381">
        <v>69</v>
      </c>
      <c r="X109" s="489">
        <v>69</v>
      </c>
      <c r="Y109" s="381">
        <v>78</v>
      </c>
      <c r="Z109" s="520">
        <v>78.2</v>
      </c>
      <c r="AA109" s="381">
        <v>69</v>
      </c>
      <c r="AB109" s="491">
        <f t="shared" ref="AB109" si="14">X109</f>
        <v>69</v>
      </c>
      <c r="AC109" s="381">
        <v>61</v>
      </c>
      <c r="AD109" s="491">
        <v>61</v>
      </c>
      <c r="AE109" s="381" t="s">
        <v>52</v>
      </c>
      <c r="AF109" s="381" t="s">
        <v>52</v>
      </c>
      <c r="AG109" s="381" t="s">
        <v>52</v>
      </c>
      <c r="AH109" s="381" t="s">
        <v>52</v>
      </c>
      <c r="AI109" s="381" t="s">
        <v>52</v>
      </c>
      <c r="AJ109" s="483" t="s">
        <v>54</v>
      </c>
      <c r="AK109" s="483" t="s">
        <v>54</v>
      </c>
      <c r="AL109" s="483" t="s">
        <v>54</v>
      </c>
      <c r="AM109" s="483" t="s">
        <v>54</v>
      </c>
      <c r="AN109" s="483" t="s">
        <v>54</v>
      </c>
      <c r="AO109" s="483" t="s">
        <v>54</v>
      </c>
      <c r="AP109" s="381" t="s">
        <v>54</v>
      </c>
      <c r="AQ109" s="486" t="s">
        <v>54</v>
      </c>
      <c r="AR109" s="381" t="s">
        <v>54</v>
      </c>
      <c r="AS109" s="385" t="s">
        <v>54</v>
      </c>
      <c r="AT109" s="385" t="s">
        <v>54</v>
      </c>
      <c r="AU109" s="381" t="s">
        <v>54</v>
      </c>
      <c r="AV109" s="381" t="s">
        <v>54</v>
      </c>
      <c r="AW109" s="381" t="s">
        <v>54</v>
      </c>
      <c r="AX109" s="381" t="s">
        <v>54</v>
      </c>
      <c r="AY109" s="386" t="s">
        <v>54</v>
      </c>
      <c r="AZ109" s="397" t="s">
        <v>54</v>
      </c>
      <c r="BA109" s="489" t="s">
        <v>54</v>
      </c>
      <c r="BB109" s="397" t="s">
        <v>54</v>
      </c>
      <c r="BC109" s="489" t="s">
        <v>54</v>
      </c>
      <c r="BD109" s="397" t="s">
        <v>54</v>
      </c>
      <c r="BE109" s="397" t="s">
        <v>54</v>
      </c>
      <c r="BF109" s="397" t="s">
        <v>54</v>
      </c>
      <c r="BG109" s="381" t="s">
        <v>54</v>
      </c>
      <c r="BH109" s="381" t="s">
        <v>54</v>
      </c>
      <c r="BI109" s="381" t="s">
        <v>54</v>
      </c>
      <c r="BJ109" s="381" t="s">
        <v>54</v>
      </c>
      <c r="BK109" s="381" t="s">
        <v>54</v>
      </c>
      <c r="BL109" s="381" t="s">
        <v>54</v>
      </c>
      <c r="BM109" s="381" t="s">
        <v>54</v>
      </c>
      <c r="BN109" s="381" t="s">
        <v>54</v>
      </c>
      <c r="BO109" s="381" t="s">
        <v>54</v>
      </c>
      <c r="BP109" s="381" t="s">
        <v>54</v>
      </c>
      <c r="BQ109" s="381" t="s">
        <v>54</v>
      </c>
      <c r="BR109" s="381" t="s">
        <v>54</v>
      </c>
      <c r="BS109" s="381" t="s">
        <v>54</v>
      </c>
      <c r="BT109" s="381" t="s">
        <v>54</v>
      </c>
      <c r="BU109" s="383" t="s">
        <v>54</v>
      </c>
      <c r="BV109" s="381" t="s">
        <v>54</v>
      </c>
      <c r="BW109" s="381" t="s">
        <v>54</v>
      </c>
      <c r="BX109" s="381" t="s">
        <v>54</v>
      </c>
      <c r="BY109" s="381" t="s">
        <v>54</v>
      </c>
      <c r="BZ109" s="381" t="s">
        <v>54</v>
      </c>
      <c r="CA109" s="381" t="s">
        <v>54</v>
      </c>
      <c r="CB109" s="381" t="s">
        <v>54</v>
      </c>
      <c r="CC109" s="381" t="s">
        <v>54</v>
      </c>
      <c r="CD109" s="381" t="s">
        <v>54</v>
      </c>
      <c r="CE109" s="383" t="s">
        <v>54</v>
      </c>
      <c r="CF109" s="381" t="s">
        <v>54</v>
      </c>
      <c r="CG109" s="381" t="s">
        <v>54</v>
      </c>
      <c r="CH109" s="381" t="s">
        <v>54</v>
      </c>
      <c r="CI109" s="383" t="s">
        <v>54</v>
      </c>
      <c r="CJ109" s="381" t="s">
        <v>54</v>
      </c>
      <c r="CK109" s="381" t="s">
        <v>54</v>
      </c>
      <c r="CL109" s="381" t="s">
        <v>54</v>
      </c>
      <c r="CM109" s="483" t="s">
        <v>54</v>
      </c>
      <c r="CN109" s="483" t="s">
        <v>54</v>
      </c>
      <c r="CO109" s="491" t="s">
        <v>54</v>
      </c>
      <c r="CP109" s="491" t="s">
        <v>54</v>
      </c>
      <c r="CQ109" s="491" t="s">
        <v>54</v>
      </c>
      <c r="CR109" s="491" t="s">
        <v>54</v>
      </c>
      <c r="CS109" s="491" t="s">
        <v>54</v>
      </c>
      <c r="CT109" s="491" t="s">
        <v>2026</v>
      </c>
      <c r="CU109" s="491">
        <v>2019</v>
      </c>
      <c r="CV109" s="501" t="s">
        <v>3314</v>
      </c>
      <c r="CW109" s="491" t="s">
        <v>1975</v>
      </c>
      <c r="CX109" s="491" t="s">
        <v>54</v>
      </c>
      <c r="CY109" s="491" t="s">
        <v>54</v>
      </c>
      <c r="CZ109" s="491" t="s">
        <v>54</v>
      </c>
      <c r="DA109" s="491" t="s">
        <v>54</v>
      </c>
      <c r="DB109" s="491" t="s">
        <v>54</v>
      </c>
      <c r="DC109" s="491" t="s">
        <v>3000</v>
      </c>
      <c r="DD109" s="495" t="s">
        <v>3100</v>
      </c>
      <c r="DE109" s="491" t="s">
        <v>3001</v>
      </c>
      <c r="DF109" s="491" t="s">
        <v>52</v>
      </c>
      <c r="DG109" s="495" t="s">
        <v>54</v>
      </c>
      <c r="DH109" s="495" t="s">
        <v>54</v>
      </c>
      <c r="DI109" s="495" t="s">
        <v>54</v>
      </c>
      <c r="DJ109" s="495" t="s">
        <v>54</v>
      </c>
      <c r="DK109" s="495" t="s">
        <v>54</v>
      </c>
      <c r="DL109" s="495" t="s">
        <v>54</v>
      </c>
      <c r="DM109" s="382" t="s">
        <v>54</v>
      </c>
      <c r="DN109" s="536" t="s">
        <v>54</v>
      </c>
      <c r="DO109" s="381" t="s">
        <v>54</v>
      </c>
      <c r="DP109" s="385" t="s">
        <v>54</v>
      </c>
      <c r="DQ109" s="385" t="s">
        <v>54</v>
      </c>
      <c r="DR109" s="381" t="s">
        <v>54</v>
      </c>
      <c r="DS109" s="381" t="s">
        <v>54</v>
      </c>
      <c r="DT109" s="381" t="s">
        <v>54</v>
      </c>
      <c r="DU109" s="381" t="s">
        <v>54</v>
      </c>
      <c r="DV109" s="381" t="s">
        <v>54</v>
      </c>
      <c r="DW109" s="381" t="s">
        <v>54</v>
      </c>
      <c r="DX109" s="536" t="s">
        <v>54</v>
      </c>
      <c r="DY109" s="405" t="s">
        <v>54</v>
      </c>
      <c r="DZ109" s="536" t="s">
        <v>54</v>
      </c>
      <c r="EA109" s="405" t="s">
        <v>54</v>
      </c>
      <c r="EB109" s="405" t="s">
        <v>54</v>
      </c>
      <c r="EC109" s="405" t="s">
        <v>54</v>
      </c>
      <c r="ED109" s="381" t="s">
        <v>54</v>
      </c>
      <c r="EE109" s="381" t="s">
        <v>54</v>
      </c>
      <c r="EF109" s="381" t="s">
        <v>54</v>
      </c>
      <c r="EG109" s="381" t="s">
        <v>54</v>
      </c>
      <c r="EH109" s="381" t="s">
        <v>54</v>
      </c>
      <c r="EI109" s="381" t="s">
        <v>54</v>
      </c>
      <c r="EJ109" s="381" t="s">
        <v>54</v>
      </c>
      <c r="EK109" s="381" t="s">
        <v>54</v>
      </c>
      <c r="EL109" s="381" t="s">
        <v>54</v>
      </c>
      <c r="EM109" s="381" t="s">
        <v>54</v>
      </c>
      <c r="EN109" s="381" t="s">
        <v>54</v>
      </c>
      <c r="EO109" s="381" t="s">
        <v>54</v>
      </c>
      <c r="EP109" s="381" t="s">
        <v>54</v>
      </c>
      <c r="EQ109" s="381" t="s">
        <v>54</v>
      </c>
      <c r="ER109" s="381" t="s">
        <v>54</v>
      </c>
      <c r="ES109" s="381" t="s">
        <v>54</v>
      </c>
      <c r="ET109" s="381" t="s">
        <v>54</v>
      </c>
      <c r="EU109" s="381" t="s">
        <v>54</v>
      </c>
    </row>
    <row r="110" spans="1:151" s="1" customFormat="1" ht="19.899999999999999" customHeight="1">
      <c r="A110" s="492"/>
      <c r="B110" s="492"/>
      <c r="C110" s="487"/>
      <c r="D110" s="509"/>
      <c r="E110" s="506"/>
      <c r="F110" s="509"/>
      <c r="G110" s="513"/>
      <c r="H110" s="509"/>
      <c r="I110" s="509"/>
      <c r="J110" s="509"/>
      <c r="K110" s="492"/>
      <c r="L110" s="496"/>
      <c r="M110" s="492"/>
      <c r="N110" s="487"/>
      <c r="O110" s="513"/>
      <c r="P110" s="518"/>
      <c r="Q110" s="492"/>
      <c r="R110" s="381" t="s">
        <v>54</v>
      </c>
      <c r="S110" s="381" t="s">
        <v>54</v>
      </c>
      <c r="T110" s="381" t="s">
        <v>54</v>
      </c>
      <c r="U110" s="381" t="s">
        <v>54</v>
      </c>
      <c r="V110" s="381" t="s">
        <v>54</v>
      </c>
      <c r="W110" s="381" t="s">
        <v>54</v>
      </c>
      <c r="X110" s="490"/>
      <c r="Y110" s="381" t="s">
        <v>54</v>
      </c>
      <c r="Z110" s="521"/>
      <c r="AA110" s="381" t="s">
        <v>54</v>
      </c>
      <c r="AB110" s="492"/>
      <c r="AC110" s="381" t="s">
        <v>54</v>
      </c>
      <c r="AD110" s="492"/>
      <c r="AE110" s="381" t="s">
        <v>54</v>
      </c>
      <c r="AF110" s="381" t="s">
        <v>54</v>
      </c>
      <c r="AG110" s="381" t="s">
        <v>54</v>
      </c>
      <c r="AH110" s="381" t="s">
        <v>54</v>
      </c>
      <c r="AI110" s="381" t="s">
        <v>54</v>
      </c>
      <c r="AJ110" s="484"/>
      <c r="AK110" s="484"/>
      <c r="AL110" s="484"/>
      <c r="AM110" s="484"/>
      <c r="AN110" s="484"/>
      <c r="AO110" s="484"/>
      <c r="AP110" s="381" t="s">
        <v>54</v>
      </c>
      <c r="AQ110" s="487"/>
      <c r="AR110" s="381" t="s">
        <v>54</v>
      </c>
      <c r="AS110" s="385" t="s">
        <v>54</v>
      </c>
      <c r="AT110" s="385" t="s">
        <v>54</v>
      </c>
      <c r="AU110" s="381" t="s">
        <v>54</v>
      </c>
      <c r="AV110" s="381" t="s">
        <v>54</v>
      </c>
      <c r="AW110" s="381" t="s">
        <v>54</v>
      </c>
      <c r="AX110" s="381" t="s">
        <v>54</v>
      </c>
      <c r="AY110" s="386" t="s">
        <v>54</v>
      </c>
      <c r="AZ110" s="397" t="s">
        <v>54</v>
      </c>
      <c r="BA110" s="490"/>
      <c r="BB110" s="397" t="s">
        <v>54</v>
      </c>
      <c r="BC110" s="490"/>
      <c r="BD110" s="397" t="s">
        <v>54</v>
      </c>
      <c r="BE110" s="397" t="s">
        <v>54</v>
      </c>
      <c r="BF110" s="397" t="s">
        <v>54</v>
      </c>
      <c r="BG110" s="381" t="s">
        <v>54</v>
      </c>
      <c r="BH110" s="381" t="s">
        <v>54</v>
      </c>
      <c r="BI110" s="381" t="s">
        <v>54</v>
      </c>
      <c r="BJ110" s="381" t="s">
        <v>54</v>
      </c>
      <c r="BK110" s="381" t="s">
        <v>54</v>
      </c>
      <c r="BL110" s="381" t="s">
        <v>54</v>
      </c>
      <c r="BM110" s="381" t="s">
        <v>54</v>
      </c>
      <c r="BN110" s="381" t="s">
        <v>54</v>
      </c>
      <c r="BO110" s="381" t="s">
        <v>54</v>
      </c>
      <c r="BP110" s="381" t="s">
        <v>54</v>
      </c>
      <c r="BQ110" s="381" t="s">
        <v>54</v>
      </c>
      <c r="BR110" s="381" t="s">
        <v>54</v>
      </c>
      <c r="BS110" s="381" t="s">
        <v>54</v>
      </c>
      <c r="BT110" s="381" t="s">
        <v>54</v>
      </c>
      <c r="BU110" s="383" t="s">
        <v>54</v>
      </c>
      <c r="BV110" s="381" t="s">
        <v>54</v>
      </c>
      <c r="BW110" s="381" t="s">
        <v>54</v>
      </c>
      <c r="BX110" s="381" t="s">
        <v>54</v>
      </c>
      <c r="BY110" s="381" t="s">
        <v>54</v>
      </c>
      <c r="BZ110" s="381" t="s">
        <v>54</v>
      </c>
      <c r="CA110" s="381" t="s">
        <v>54</v>
      </c>
      <c r="CB110" s="381" t="s">
        <v>54</v>
      </c>
      <c r="CC110" s="381" t="s">
        <v>54</v>
      </c>
      <c r="CD110" s="381" t="s">
        <v>54</v>
      </c>
      <c r="CE110" s="383" t="s">
        <v>54</v>
      </c>
      <c r="CF110" s="381" t="s">
        <v>54</v>
      </c>
      <c r="CG110" s="381" t="s">
        <v>54</v>
      </c>
      <c r="CH110" s="381" t="s">
        <v>54</v>
      </c>
      <c r="CI110" s="383" t="s">
        <v>54</v>
      </c>
      <c r="CJ110" s="381" t="s">
        <v>54</v>
      </c>
      <c r="CK110" s="381" t="s">
        <v>54</v>
      </c>
      <c r="CL110" s="381" t="s">
        <v>54</v>
      </c>
      <c r="CM110" s="499"/>
      <c r="CN110" s="499"/>
      <c r="CO110" s="492"/>
      <c r="CP110" s="492"/>
      <c r="CQ110" s="492"/>
      <c r="CR110" s="492"/>
      <c r="CS110" s="492"/>
      <c r="CT110" s="492"/>
      <c r="CU110" s="492"/>
      <c r="CV110" s="501"/>
      <c r="CW110" s="492"/>
      <c r="CX110" s="492"/>
      <c r="CY110" s="492"/>
      <c r="CZ110" s="492"/>
      <c r="DA110" s="492"/>
      <c r="DB110" s="492"/>
      <c r="DC110" s="492"/>
      <c r="DD110" s="496"/>
      <c r="DE110" s="492"/>
      <c r="DF110" s="492"/>
      <c r="DG110" s="496"/>
      <c r="DH110" s="496"/>
      <c r="DI110" s="496"/>
      <c r="DJ110" s="496"/>
      <c r="DK110" s="496"/>
      <c r="DL110" s="496"/>
      <c r="DM110" s="382" t="s">
        <v>54</v>
      </c>
      <c r="DN110" s="537"/>
      <c r="DO110" s="381" t="s">
        <v>54</v>
      </c>
      <c r="DP110" s="385" t="s">
        <v>54</v>
      </c>
      <c r="DQ110" s="385" t="s">
        <v>54</v>
      </c>
      <c r="DR110" s="381" t="s">
        <v>54</v>
      </c>
      <c r="DS110" s="381" t="s">
        <v>54</v>
      </c>
      <c r="DT110" s="381" t="s">
        <v>54</v>
      </c>
      <c r="DU110" s="381" t="s">
        <v>54</v>
      </c>
      <c r="DV110" s="381" t="s">
        <v>54</v>
      </c>
      <c r="DW110" s="381" t="s">
        <v>54</v>
      </c>
      <c r="DX110" s="537"/>
      <c r="DY110" s="405" t="s">
        <v>54</v>
      </c>
      <c r="DZ110" s="537"/>
      <c r="EA110" s="405" t="s">
        <v>54</v>
      </c>
      <c r="EB110" s="405" t="s">
        <v>54</v>
      </c>
      <c r="EC110" s="405" t="s">
        <v>54</v>
      </c>
      <c r="ED110" s="381" t="s">
        <v>54</v>
      </c>
      <c r="EE110" s="381" t="s">
        <v>54</v>
      </c>
      <c r="EF110" s="381" t="s">
        <v>54</v>
      </c>
      <c r="EG110" s="381" t="s">
        <v>54</v>
      </c>
      <c r="EH110" s="381" t="s">
        <v>54</v>
      </c>
      <c r="EI110" s="381" t="s">
        <v>54</v>
      </c>
      <c r="EJ110" s="381" t="s">
        <v>54</v>
      </c>
      <c r="EK110" s="381" t="s">
        <v>54</v>
      </c>
      <c r="EL110" s="381" t="s">
        <v>54</v>
      </c>
      <c r="EM110" s="381" t="s">
        <v>54</v>
      </c>
      <c r="EN110" s="381" t="s">
        <v>54</v>
      </c>
      <c r="EO110" s="381" t="s">
        <v>54</v>
      </c>
      <c r="EP110" s="381" t="s">
        <v>54</v>
      </c>
      <c r="EQ110" s="381" t="s">
        <v>54</v>
      </c>
      <c r="ER110" s="381" t="s">
        <v>54</v>
      </c>
      <c r="ES110" s="381" t="s">
        <v>54</v>
      </c>
      <c r="ET110" s="381" t="s">
        <v>54</v>
      </c>
      <c r="EU110" s="381" t="s">
        <v>54</v>
      </c>
    </row>
    <row r="111" spans="1:151" s="1" customFormat="1" ht="19.899999999999999" customHeight="1">
      <c r="A111" s="493"/>
      <c r="B111" s="493"/>
      <c r="C111" s="487"/>
      <c r="D111" s="510"/>
      <c r="E111" s="507"/>
      <c r="F111" s="510"/>
      <c r="G111" s="514"/>
      <c r="H111" s="510"/>
      <c r="I111" s="510"/>
      <c r="J111" s="510"/>
      <c r="K111" s="493"/>
      <c r="L111" s="497"/>
      <c r="M111" s="493"/>
      <c r="N111" s="487"/>
      <c r="O111" s="514"/>
      <c r="P111" s="518"/>
      <c r="Q111" s="493"/>
      <c r="R111" s="381" t="s">
        <v>54</v>
      </c>
      <c r="S111" s="381" t="s">
        <v>54</v>
      </c>
      <c r="T111" s="381" t="s">
        <v>54</v>
      </c>
      <c r="U111" s="381" t="s">
        <v>54</v>
      </c>
      <c r="V111" s="381" t="s">
        <v>54</v>
      </c>
      <c r="W111" s="381" t="s">
        <v>54</v>
      </c>
      <c r="X111" s="490"/>
      <c r="Y111" s="381" t="s">
        <v>54</v>
      </c>
      <c r="Z111" s="521"/>
      <c r="AA111" s="381" t="s">
        <v>54</v>
      </c>
      <c r="AB111" s="493"/>
      <c r="AC111" s="381" t="s">
        <v>54</v>
      </c>
      <c r="AD111" s="493"/>
      <c r="AE111" s="381" t="s">
        <v>54</v>
      </c>
      <c r="AF111" s="381" t="s">
        <v>54</v>
      </c>
      <c r="AG111" s="381" t="s">
        <v>54</v>
      </c>
      <c r="AH111" s="381" t="s">
        <v>54</v>
      </c>
      <c r="AI111" s="381" t="s">
        <v>54</v>
      </c>
      <c r="AJ111" s="484"/>
      <c r="AK111" s="484"/>
      <c r="AL111" s="484"/>
      <c r="AM111" s="484"/>
      <c r="AN111" s="484"/>
      <c r="AO111" s="484"/>
      <c r="AP111" s="381" t="s">
        <v>54</v>
      </c>
      <c r="AQ111" s="487"/>
      <c r="AR111" s="381" t="s">
        <v>54</v>
      </c>
      <c r="AS111" s="385" t="s">
        <v>54</v>
      </c>
      <c r="AT111" s="385" t="s">
        <v>54</v>
      </c>
      <c r="AU111" s="381" t="s">
        <v>54</v>
      </c>
      <c r="AV111" s="381" t="s">
        <v>54</v>
      </c>
      <c r="AW111" s="381" t="s">
        <v>54</v>
      </c>
      <c r="AX111" s="381" t="s">
        <v>54</v>
      </c>
      <c r="AY111" s="386" t="s">
        <v>54</v>
      </c>
      <c r="AZ111" s="397" t="s">
        <v>54</v>
      </c>
      <c r="BA111" s="490"/>
      <c r="BB111" s="397" t="s">
        <v>54</v>
      </c>
      <c r="BC111" s="490"/>
      <c r="BD111" s="397" t="s">
        <v>54</v>
      </c>
      <c r="BE111" s="397" t="s">
        <v>54</v>
      </c>
      <c r="BF111" s="397" t="s">
        <v>54</v>
      </c>
      <c r="BG111" s="381" t="s">
        <v>54</v>
      </c>
      <c r="BH111" s="381" t="s">
        <v>54</v>
      </c>
      <c r="BI111" s="381" t="s">
        <v>54</v>
      </c>
      <c r="BJ111" s="381" t="s">
        <v>54</v>
      </c>
      <c r="BK111" s="381" t="s">
        <v>54</v>
      </c>
      <c r="BL111" s="381" t="s">
        <v>54</v>
      </c>
      <c r="BM111" s="381" t="s">
        <v>54</v>
      </c>
      <c r="BN111" s="381" t="s">
        <v>54</v>
      </c>
      <c r="BO111" s="381" t="s">
        <v>54</v>
      </c>
      <c r="BP111" s="381" t="s">
        <v>54</v>
      </c>
      <c r="BQ111" s="381" t="s">
        <v>54</v>
      </c>
      <c r="BR111" s="381" t="s">
        <v>54</v>
      </c>
      <c r="BS111" s="381" t="s">
        <v>54</v>
      </c>
      <c r="BT111" s="381" t="s">
        <v>54</v>
      </c>
      <c r="BU111" s="383" t="s">
        <v>54</v>
      </c>
      <c r="BV111" s="381" t="s">
        <v>54</v>
      </c>
      <c r="BW111" s="381" t="s">
        <v>54</v>
      </c>
      <c r="BX111" s="381" t="s">
        <v>54</v>
      </c>
      <c r="BY111" s="381" t="s">
        <v>54</v>
      </c>
      <c r="BZ111" s="381" t="s">
        <v>54</v>
      </c>
      <c r="CA111" s="381" t="s">
        <v>54</v>
      </c>
      <c r="CB111" s="381" t="s">
        <v>54</v>
      </c>
      <c r="CC111" s="381" t="s">
        <v>54</v>
      </c>
      <c r="CD111" s="381" t="s">
        <v>54</v>
      </c>
      <c r="CE111" s="383" t="s">
        <v>54</v>
      </c>
      <c r="CF111" s="381" t="s">
        <v>54</v>
      </c>
      <c r="CG111" s="381" t="s">
        <v>54</v>
      </c>
      <c r="CH111" s="381" t="s">
        <v>54</v>
      </c>
      <c r="CI111" s="383" t="s">
        <v>54</v>
      </c>
      <c r="CJ111" s="381" t="s">
        <v>54</v>
      </c>
      <c r="CK111" s="381" t="s">
        <v>54</v>
      </c>
      <c r="CL111" s="381" t="s">
        <v>54</v>
      </c>
      <c r="CM111" s="499"/>
      <c r="CN111" s="499"/>
      <c r="CO111" s="493"/>
      <c r="CP111" s="493"/>
      <c r="CQ111" s="493"/>
      <c r="CR111" s="493"/>
      <c r="CS111" s="493"/>
      <c r="CT111" s="493"/>
      <c r="CU111" s="493"/>
      <c r="CV111" s="501"/>
      <c r="CW111" s="493"/>
      <c r="CX111" s="493"/>
      <c r="CY111" s="493"/>
      <c r="CZ111" s="493"/>
      <c r="DA111" s="493"/>
      <c r="DB111" s="493"/>
      <c r="DC111" s="493"/>
      <c r="DD111" s="497"/>
      <c r="DE111" s="493"/>
      <c r="DF111" s="493"/>
      <c r="DG111" s="497"/>
      <c r="DH111" s="497"/>
      <c r="DI111" s="497"/>
      <c r="DJ111" s="497"/>
      <c r="DK111" s="497"/>
      <c r="DL111" s="497"/>
      <c r="DM111" s="382" t="s">
        <v>54</v>
      </c>
      <c r="DN111" s="537"/>
      <c r="DO111" s="381" t="s">
        <v>54</v>
      </c>
      <c r="DP111" s="385" t="s">
        <v>54</v>
      </c>
      <c r="DQ111" s="385" t="s">
        <v>54</v>
      </c>
      <c r="DR111" s="381" t="s">
        <v>54</v>
      </c>
      <c r="DS111" s="381" t="s">
        <v>54</v>
      </c>
      <c r="DT111" s="381" t="s">
        <v>54</v>
      </c>
      <c r="DU111" s="381" t="s">
        <v>54</v>
      </c>
      <c r="DV111" s="381" t="s">
        <v>54</v>
      </c>
      <c r="DW111" s="381" t="s">
        <v>54</v>
      </c>
      <c r="DX111" s="537"/>
      <c r="DY111" s="405" t="s">
        <v>54</v>
      </c>
      <c r="DZ111" s="537"/>
      <c r="EA111" s="405" t="s">
        <v>54</v>
      </c>
      <c r="EB111" s="405" t="s">
        <v>54</v>
      </c>
      <c r="EC111" s="405" t="s">
        <v>54</v>
      </c>
      <c r="ED111" s="381" t="s">
        <v>54</v>
      </c>
      <c r="EE111" s="381" t="s">
        <v>54</v>
      </c>
      <c r="EF111" s="381" t="s">
        <v>54</v>
      </c>
      <c r="EG111" s="381" t="s">
        <v>54</v>
      </c>
      <c r="EH111" s="381" t="s">
        <v>54</v>
      </c>
      <c r="EI111" s="381" t="s">
        <v>54</v>
      </c>
      <c r="EJ111" s="381" t="s">
        <v>54</v>
      </c>
      <c r="EK111" s="381" t="s">
        <v>54</v>
      </c>
      <c r="EL111" s="381" t="s">
        <v>54</v>
      </c>
      <c r="EM111" s="381" t="s">
        <v>54</v>
      </c>
      <c r="EN111" s="381" t="s">
        <v>54</v>
      </c>
      <c r="EO111" s="381" t="s">
        <v>54</v>
      </c>
      <c r="EP111" s="381" t="s">
        <v>54</v>
      </c>
      <c r="EQ111" s="381" t="s">
        <v>54</v>
      </c>
      <c r="ER111" s="381" t="s">
        <v>54</v>
      </c>
      <c r="ES111" s="381" t="s">
        <v>54</v>
      </c>
      <c r="ET111" s="381" t="s">
        <v>54</v>
      </c>
      <c r="EU111" s="381" t="s">
        <v>54</v>
      </c>
    </row>
    <row r="112" spans="1:151" s="1" customFormat="1" ht="19.899999999999999" customHeight="1">
      <c r="A112" s="494"/>
      <c r="B112" s="494"/>
      <c r="C112" s="488"/>
      <c r="D112" s="511"/>
      <c r="E112" s="508"/>
      <c r="F112" s="511"/>
      <c r="G112" s="515"/>
      <c r="H112" s="511"/>
      <c r="I112" s="511"/>
      <c r="J112" s="511"/>
      <c r="K112" s="494"/>
      <c r="L112" s="498"/>
      <c r="M112" s="494"/>
      <c r="N112" s="488"/>
      <c r="O112" s="515"/>
      <c r="P112" s="519"/>
      <c r="Q112" s="494"/>
      <c r="R112" s="381" t="s">
        <v>54</v>
      </c>
      <c r="S112" s="381" t="s">
        <v>54</v>
      </c>
      <c r="T112" s="381" t="s">
        <v>54</v>
      </c>
      <c r="U112" s="381" t="s">
        <v>54</v>
      </c>
      <c r="V112" s="381" t="s">
        <v>54</v>
      </c>
      <c r="W112" s="381" t="s">
        <v>54</v>
      </c>
      <c r="X112" s="490"/>
      <c r="Y112" s="381" t="s">
        <v>54</v>
      </c>
      <c r="Z112" s="521"/>
      <c r="AA112" s="381" t="s">
        <v>54</v>
      </c>
      <c r="AB112" s="494"/>
      <c r="AC112" s="381" t="s">
        <v>54</v>
      </c>
      <c r="AD112" s="494"/>
      <c r="AE112" s="381" t="s">
        <v>54</v>
      </c>
      <c r="AF112" s="381" t="s">
        <v>54</v>
      </c>
      <c r="AG112" s="381" t="s">
        <v>54</v>
      </c>
      <c r="AH112" s="381" t="s">
        <v>54</v>
      </c>
      <c r="AI112" s="381" t="s">
        <v>54</v>
      </c>
      <c r="AJ112" s="485"/>
      <c r="AK112" s="485"/>
      <c r="AL112" s="485"/>
      <c r="AM112" s="485"/>
      <c r="AN112" s="485"/>
      <c r="AO112" s="485"/>
      <c r="AP112" s="381" t="s">
        <v>54</v>
      </c>
      <c r="AQ112" s="488"/>
      <c r="AR112" s="381" t="s">
        <v>54</v>
      </c>
      <c r="AS112" s="385" t="s">
        <v>54</v>
      </c>
      <c r="AT112" s="385" t="s">
        <v>54</v>
      </c>
      <c r="AU112" s="381" t="s">
        <v>54</v>
      </c>
      <c r="AV112" s="381" t="s">
        <v>54</v>
      </c>
      <c r="AW112" s="381" t="s">
        <v>54</v>
      </c>
      <c r="AX112" s="381" t="s">
        <v>54</v>
      </c>
      <c r="AY112" s="386" t="s">
        <v>54</v>
      </c>
      <c r="AZ112" s="397" t="s">
        <v>54</v>
      </c>
      <c r="BA112" s="490"/>
      <c r="BB112" s="397" t="s">
        <v>54</v>
      </c>
      <c r="BC112" s="490"/>
      <c r="BD112" s="397" t="s">
        <v>54</v>
      </c>
      <c r="BE112" s="397" t="s">
        <v>54</v>
      </c>
      <c r="BF112" s="397" t="s">
        <v>54</v>
      </c>
      <c r="BG112" s="381" t="s">
        <v>54</v>
      </c>
      <c r="BH112" s="381" t="s">
        <v>54</v>
      </c>
      <c r="BI112" s="381" t="s">
        <v>54</v>
      </c>
      <c r="BJ112" s="381" t="s">
        <v>54</v>
      </c>
      <c r="BK112" s="381" t="s">
        <v>54</v>
      </c>
      <c r="BL112" s="381" t="s">
        <v>54</v>
      </c>
      <c r="BM112" s="381" t="s">
        <v>54</v>
      </c>
      <c r="BN112" s="381" t="s">
        <v>54</v>
      </c>
      <c r="BO112" s="381" t="s">
        <v>54</v>
      </c>
      <c r="BP112" s="381" t="s">
        <v>54</v>
      </c>
      <c r="BQ112" s="381" t="s">
        <v>54</v>
      </c>
      <c r="BR112" s="381" t="s">
        <v>54</v>
      </c>
      <c r="BS112" s="381" t="s">
        <v>54</v>
      </c>
      <c r="BT112" s="381" t="s">
        <v>54</v>
      </c>
      <c r="BU112" s="383" t="s">
        <v>54</v>
      </c>
      <c r="BV112" s="381" t="s">
        <v>54</v>
      </c>
      <c r="BW112" s="381" t="s">
        <v>54</v>
      </c>
      <c r="BX112" s="381" t="s">
        <v>54</v>
      </c>
      <c r="BY112" s="381" t="s">
        <v>54</v>
      </c>
      <c r="BZ112" s="381" t="s">
        <v>54</v>
      </c>
      <c r="CA112" s="381" t="s">
        <v>54</v>
      </c>
      <c r="CB112" s="381" t="s">
        <v>54</v>
      </c>
      <c r="CC112" s="381" t="s">
        <v>54</v>
      </c>
      <c r="CD112" s="381" t="s">
        <v>54</v>
      </c>
      <c r="CE112" s="383" t="s">
        <v>54</v>
      </c>
      <c r="CF112" s="381" t="s">
        <v>54</v>
      </c>
      <c r="CG112" s="381" t="s">
        <v>54</v>
      </c>
      <c r="CH112" s="381" t="s">
        <v>54</v>
      </c>
      <c r="CI112" s="383" t="s">
        <v>54</v>
      </c>
      <c r="CJ112" s="381" t="s">
        <v>54</v>
      </c>
      <c r="CK112" s="381" t="s">
        <v>54</v>
      </c>
      <c r="CL112" s="381" t="s">
        <v>54</v>
      </c>
      <c r="CM112" s="500"/>
      <c r="CN112" s="500"/>
      <c r="CO112" s="494"/>
      <c r="CP112" s="494"/>
      <c r="CQ112" s="494"/>
      <c r="CR112" s="494"/>
      <c r="CS112" s="494"/>
      <c r="CT112" s="494"/>
      <c r="CU112" s="494"/>
      <c r="CV112" s="501"/>
      <c r="CW112" s="494"/>
      <c r="CX112" s="494"/>
      <c r="CY112" s="494"/>
      <c r="CZ112" s="494"/>
      <c r="DA112" s="494"/>
      <c r="DB112" s="494"/>
      <c r="DC112" s="494"/>
      <c r="DD112" s="498"/>
      <c r="DE112" s="494"/>
      <c r="DF112" s="494"/>
      <c r="DG112" s="498"/>
      <c r="DH112" s="498"/>
      <c r="DI112" s="498"/>
      <c r="DJ112" s="498"/>
      <c r="DK112" s="498"/>
      <c r="DL112" s="498"/>
      <c r="DM112" s="382" t="s">
        <v>54</v>
      </c>
      <c r="DN112" s="537"/>
      <c r="DO112" s="381" t="s">
        <v>54</v>
      </c>
      <c r="DP112" s="385" t="s">
        <v>54</v>
      </c>
      <c r="DQ112" s="385" t="s">
        <v>54</v>
      </c>
      <c r="DR112" s="381" t="s">
        <v>54</v>
      </c>
      <c r="DS112" s="381" t="s">
        <v>54</v>
      </c>
      <c r="DT112" s="381" t="s">
        <v>54</v>
      </c>
      <c r="DU112" s="381" t="s">
        <v>54</v>
      </c>
      <c r="DV112" s="381" t="s">
        <v>54</v>
      </c>
      <c r="DW112" s="381" t="s">
        <v>54</v>
      </c>
      <c r="DX112" s="537"/>
      <c r="DY112" s="405" t="s">
        <v>54</v>
      </c>
      <c r="DZ112" s="537"/>
      <c r="EA112" s="405" t="s">
        <v>54</v>
      </c>
      <c r="EB112" s="405" t="s">
        <v>54</v>
      </c>
      <c r="EC112" s="405" t="s">
        <v>54</v>
      </c>
      <c r="ED112" s="381" t="s">
        <v>54</v>
      </c>
      <c r="EE112" s="381" t="s">
        <v>54</v>
      </c>
      <c r="EF112" s="381" t="s">
        <v>54</v>
      </c>
      <c r="EG112" s="381" t="s">
        <v>54</v>
      </c>
      <c r="EH112" s="381" t="s">
        <v>54</v>
      </c>
      <c r="EI112" s="381" t="s">
        <v>54</v>
      </c>
      <c r="EJ112" s="381" t="s">
        <v>54</v>
      </c>
      <c r="EK112" s="381" t="s">
        <v>54</v>
      </c>
      <c r="EL112" s="381" t="s">
        <v>54</v>
      </c>
      <c r="EM112" s="381" t="s">
        <v>54</v>
      </c>
      <c r="EN112" s="381" t="s">
        <v>54</v>
      </c>
      <c r="EO112" s="381" t="s">
        <v>54</v>
      </c>
      <c r="EP112" s="381" t="s">
        <v>54</v>
      </c>
      <c r="EQ112" s="381" t="s">
        <v>54</v>
      </c>
      <c r="ER112" s="381" t="s">
        <v>54</v>
      </c>
      <c r="ES112" s="381" t="s">
        <v>54</v>
      </c>
      <c r="ET112" s="381" t="s">
        <v>54</v>
      </c>
      <c r="EU112" s="381" t="s">
        <v>54</v>
      </c>
    </row>
    <row r="113" spans="1:151" s="1" customFormat="1" ht="19.899999999999999" customHeight="1">
      <c r="A113" s="491">
        <v>14</v>
      </c>
      <c r="B113" s="491">
        <v>14</v>
      </c>
      <c r="C113" s="486" t="s">
        <v>2797</v>
      </c>
      <c r="D113" s="491" t="s">
        <v>3028</v>
      </c>
      <c r="E113" s="495" t="s">
        <v>2924</v>
      </c>
      <c r="F113" s="491" t="s">
        <v>3060</v>
      </c>
      <c r="G113" s="512" t="s">
        <v>3044</v>
      </c>
      <c r="H113" s="491" t="s">
        <v>2860</v>
      </c>
      <c r="I113" s="491" t="s">
        <v>3061</v>
      </c>
      <c r="J113" s="491" t="s">
        <v>52</v>
      </c>
      <c r="K113" s="516" t="s">
        <v>3129</v>
      </c>
      <c r="L113" s="495" t="s">
        <v>3133</v>
      </c>
      <c r="M113" s="491" t="s">
        <v>3029</v>
      </c>
      <c r="N113" s="486" t="s">
        <v>3133</v>
      </c>
      <c r="O113" s="512" t="s">
        <v>3045</v>
      </c>
      <c r="P113" s="517" t="s">
        <v>2902</v>
      </c>
      <c r="Q113" s="491">
        <v>2</v>
      </c>
      <c r="R113" s="381" t="s">
        <v>2728</v>
      </c>
      <c r="S113" s="381" t="s">
        <v>52</v>
      </c>
      <c r="T113" s="381" t="s">
        <v>52</v>
      </c>
      <c r="U113" s="381" t="s">
        <v>52</v>
      </c>
      <c r="V113" s="381" t="s">
        <v>52</v>
      </c>
      <c r="W113" s="381">
        <v>920</v>
      </c>
      <c r="X113" s="489">
        <v>3230</v>
      </c>
      <c r="Y113" s="381" t="s">
        <v>52</v>
      </c>
      <c r="Z113" s="520" t="s">
        <v>52</v>
      </c>
      <c r="AA113" s="381">
        <v>920</v>
      </c>
      <c r="AB113" s="491">
        <f>X113</f>
        <v>3230</v>
      </c>
      <c r="AC113" s="381" t="s">
        <v>52</v>
      </c>
      <c r="AD113" s="491" t="s">
        <v>52</v>
      </c>
      <c r="AE113" s="404">
        <v>74.5</v>
      </c>
      <c r="AF113" s="381" t="s">
        <v>52</v>
      </c>
      <c r="AG113" s="381" t="s">
        <v>52</v>
      </c>
      <c r="AH113" s="381" t="s">
        <v>52</v>
      </c>
      <c r="AI113" s="381" t="s">
        <v>52</v>
      </c>
      <c r="AJ113" s="483" t="s">
        <v>54</v>
      </c>
      <c r="AK113" s="483" t="s">
        <v>54</v>
      </c>
      <c r="AL113" s="483" t="s">
        <v>54</v>
      </c>
      <c r="AM113" s="483" t="s">
        <v>54</v>
      </c>
      <c r="AN113" s="483" t="s">
        <v>54</v>
      </c>
      <c r="AO113" s="483" t="s">
        <v>54</v>
      </c>
      <c r="AP113" s="381" t="s">
        <v>54</v>
      </c>
      <c r="AQ113" s="486" t="s">
        <v>54</v>
      </c>
      <c r="AR113" s="381" t="s">
        <v>54</v>
      </c>
      <c r="AS113" s="385" t="s">
        <v>54</v>
      </c>
      <c r="AT113" s="385" t="s">
        <v>54</v>
      </c>
      <c r="AU113" s="381" t="s">
        <v>54</v>
      </c>
      <c r="AV113" s="381" t="s">
        <v>54</v>
      </c>
      <c r="AW113" s="381" t="s">
        <v>54</v>
      </c>
      <c r="AX113" s="381" t="s">
        <v>54</v>
      </c>
      <c r="AY113" s="386" t="s">
        <v>54</v>
      </c>
      <c r="AZ113" s="397" t="s">
        <v>54</v>
      </c>
      <c r="BA113" s="489" t="s">
        <v>54</v>
      </c>
      <c r="BB113" s="397" t="s">
        <v>54</v>
      </c>
      <c r="BC113" s="489" t="s">
        <v>54</v>
      </c>
      <c r="BD113" s="397" t="s">
        <v>54</v>
      </c>
      <c r="BE113" s="397" t="s">
        <v>54</v>
      </c>
      <c r="BF113" s="397" t="s">
        <v>54</v>
      </c>
      <c r="BG113" s="381" t="s">
        <v>54</v>
      </c>
      <c r="BH113" s="381" t="s">
        <v>54</v>
      </c>
      <c r="BI113" s="381" t="s">
        <v>54</v>
      </c>
      <c r="BJ113" s="381" t="s">
        <v>54</v>
      </c>
      <c r="BK113" s="381" t="s">
        <v>54</v>
      </c>
      <c r="BL113" s="381" t="s">
        <v>54</v>
      </c>
      <c r="BM113" s="381" t="s">
        <v>54</v>
      </c>
      <c r="BN113" s="381" t="s">
        <v>54</v>
      </c>
      <c r="BO113" s="381" t="s">
        <v>54</v>
      </c>
      <c r="BP113" s="381" t="s">
        <v>54</v>
      </c>
      <c r="BQ113" s="381" t="s">
        <v>54</v>
      </c>
      <c r="BR113" s="381" t="s">
        <v>54</v>
      </c>
      <c r="BS113" s="381" t="s">
        <v>54</v>
      </c>
      <c r="BT113" s="381" t="s">
        <v>54</v>
      </c>
      <c r="BU113" s="383" t="s">
        <v>54</v>
      </c>
      <c r="BV113" s="381" t="s">
        <v>54</v>
      </c>
      <c r="BW113" s="381" t="s">
        <v>54</v>
      </c>
      <c r="BX113" s="381" t="s">
        <v>54</v>
      </c>
      <c r="BY113" s="381" t="s">
        <v>54</v>
      </c>
      <c r="BZ113" s="381" t="s">
        <v>54</v>
      </c>
      <c r="CA113" s="381" t="s">
        <v>54</v>
      </c>
      <c r="CB113" s="381" t="s">
        <v>54</v>
      </c>
      <c r="CC113" s="381" t="s">
        <v>54</v>
      </c>
      <c r="CD113" s="381" t="s">
        <v>54</v>
      </c>
      <c r="CE113" s="383" t="s">
        <v>54</v>
      </c>
      <c r="CF113" s="381" t="s">
        <v>54</v>
      </c>
      <c r="CG113" s="381" t="s">
        <v>54</v>
      </c>
      <c r="CH113" s="381" t="s">
        <v>54</v>
      </c>
      <c r="CI113" s="383" t="s">
        <v>54</v>
      </c>
      <c r="CJ113" s="381" t="s">
        <v>54</v>
      </c>
      <c r="CK113" s="381" t="s">
        <v>54</v>
      </c>
      <c r="CL113" s="381" t="s">
        <v>54</v>
      </c>
      <c r="CM113" s="483" t="s">
        <v>54</v>
      </c>
      <c r="CN113" s="483" t="s">
        <v>54</v>
      </c>
      <c r="CO113" s="491" t="s">
        <v>54</v>
      </c>
      <c r="CP113" s="491" t="s">
        <v>54</v>
      </c>
      <c r="CQ113" s="491" t="s">
        <v>54</v>
      </c>
      <c r="CR113" s="491" t="s">
        <v>54</v>
      </c>
      <c r="CS113" s="491" t="s">
        <v>54</v>
      </c>
      <c r="CT113" s="491" t="s">
        <v>2026</v>
      </c>
      <c r="CU113" s="491">
        <v>2018</v>
      </c>
      <c r="CV113" s="501" t="s">
        <v>2864</v>
      </c>
      <c r="CW113" s="491" t="s">
        <v>1975</v>
      </c>
      <c r="CX113" s="491" t="s">
        <v>54</v>
      </c>
      <c r="CY113" s="491" t="s">
        <v>54</v>
      </c>
      <c r="CZ113" s="491" t="s">
        <v>54</v>
      </c>
      <c r="DA113" s="491" t="s">
        <v>54</v>
      </c>
      <c r="DB113" s="491" t="s">
        <v>54</v>
      </c>
      <c r="DC113" s="491" t="s">
        <v>3002</v>
      </c>
      <c r="DD113" s="495" t="s">
        <v>3099</v>
      </c>
      <c r="DE113" s="491" t="s">
        <v>3003</v>
      </c>
      <c r="DF113" s="491" t="s">
        <v>52</v>
      </c>
      <c r="DG113" s="495" t="s">
        <v>54</v>
      </c>
      <c r="DH113" s="495" t="s">
        <v>54</v>
      </c>
      <c r="DI113" s="495" t="s">
        <v>54</v>
      </c>
      <c r="DJ113" s="495" t="s">
        <v>54</v>
      </c>
      <c r="DK113" s="495" t="s">
        <v>54</v>
      </c>
      <c r="DL113" s="495" t="s">
        <v>54</v>
      </c>
      <c r="DM113" s="382" t="s">
        <v>54</v>
      </c>
      <c r="DN113" s="536" t="s">
        <v>54</v>
      </c>
      <c r="DO113" s="381" t="s">
        <v>54</v>
      </c>
      <c r="DP113" s="385" t="s">
        <v>54</v>
      </c>
      <c r="DQ113" s="385" t="s">
        <v>54</v>
      </c>
      <c r="DR113" s="381" t="s">
        <v>54</v>
      </c>
      <c r="DS113" s="381" t="s">
        <v>54</v>
      </c>
      <c r="DT113" s="381" t="s">
        <v>54</v>
      </c>
      <c r="DU113" s="381" t="s">
        <v>54</v>
      </c>
      <c r="DV113" s="381" t="s">
        <v>54</v>
      </c>
      <c r="DW113" s="381" t="s">
        <v>54</v>
      </c>
      <c r="DX113" s="536" t="s">
        <v>54</v>
      </c>
      <c r="DY113" s="405" t="s">
        <v>54</v>
      </c>
      <c r="DZ113" s="536" t="s">
        <v>54</v>
      </c>
      <c r="EA113" s="405" t="s">
        <v>54</v>
      </c>
      <c r="EB113" s="405" t="s">
        <v>54</v>
      </c>
      <c r="EC113" s="405" t="s">
        <v>54</v>
      </c>
      <c r="ED113" s="381" t="s">
        <v>54</v>
      </c>
      <c r="EE113" s="381" t="s">
        <v>54</v>
      </c>
      <c r="EF113" s="381" t="s">
        <v>54</v>
      </c>
      <c r="EG113" s="381" t="s">
        <v>54</v>
      </c>
      <c r="EH113" s="381" t="s">
        <v>54</v>
      </c>
      <c r="EI113" s="381" t="s">
        <v>54</v>
      </c>
      <c r="EJ113" s="381" t="s">
        <v>54</v>
      </c>
      <c r="EK113" s="381" t="s">
        <v>54</v>
      </c>
      <c r="EL113" s="381" t="s">
        <v>54</v>
      </c>
      <c r="EM113" s="381" t="s">
        <v>54</v>
      </c>
      <c r="EN113" s="381" t="s">
        <v>54</v>
      </c>
      <c r="EO113" s="381" t="s">
        <v>54</v>
      </c>
      <c r="EP113" s="381" t="s">
        <v>54</v>
      </c>
      <c r="EQ113" s="381" t="s">
        <v>54</v>
      </c>
      <c r="ER113" s="381" t="s">
        <v>54</v>
      </c>
      <c r="ES113" s="381" t="s">
        <v>54</v>
      </c>
      <c r="ET113" s="381" t="s">
        <v>54</v>
      </c>
      <c r="EU113" s="381" t="s">
        <v>54</v>
      </c>
    </row>
    <row r="114" spans="1:151" s="1" customFormat="1" ht="19.899999999999999" customHeight="1">
      <c r="A114" s="492"/>
      <c r="B114" s="492"/>
      <c r="C114" s="487"/>
      <c r="D114" s="509"/>
      <c r="E114" s="506"/>
      <c r="F114" s="509"/>
      <c r="G114" s="513"/>
      <c r="H114" s="509"/>
      <c r="I114" s="509"/>
      <c r="J114" s="509"/>
      <c r="K114" s="492"/>
      <c r="L114" s="496"/>
      <c r="M114" s="492"/>
      <c r="N114" s="487"/>
      <c r="O114" s="513"/>
      <c r="P114" s="518"/>
      <c r="Q114" s="492"/>
      <c r="R114" s="381" t="s">
        <v>2968</v>
      </c>
      <c r="S114" s="381" t="s">
        <v>52</v>
      </c>
      <c r="T114" s="381" t="s">
        <v>52</v>
      </c>
      <c r="U114" s="381" t="s">
        <v>52</v>
      </c>
      <c r="V114" s="381" t="s">
        <v>52</v>
      </c>
      <c r="W114" s="381">
        <v>2310</v>
      </c>
      <c r="X114" s="490"/>
      <c r="Y114" s="381" t="s">
        <v>52</v>
      </c>
      <c r="Z114" s="521"/>
      <c r="AA114" s="381">
        <v>2310</v>
      </c>
      <c r="AB114" s="492"/>
      <c r="AC114" s="381" t="s">
        <v>52</v>
      </c>
      <c r="AD114" s="492"/>
      <c r="AE114" s="404">
        <v>73.5</v>
      </c>
      <c r="AF114" s="381" t="s">
        <v>52</v>
      </c>
      <c r="AG114" s="381" t="s">
        <v>52</v>
      </c>
      <c r="AH114" s="381" t="s">
        <v>52</v>
      </c>
      <c r="AI114" s="381" t="s">
        <v>52</v>
      </c>
      <c r="AJ114" s="484"/>
      <c r="AK114" s="484"/>
      <c r="AL114" s="484"/>
      <c r="AM114" s="484"/>
      <c r="AN114" s="484"/>
      <c r="AO114" s="484"/>
      <c r="AP114" s="381" t="s">
        <v>54</v>
      </c>
      <c r="AQ114" s="487"/>
      <c r="AR114" s="381" t="s">
        <v>54</v>
      </c>
      <c r="AS114" s="385" t="s">
        <v>54</v>
      </c>
      <c r="AT114" s="385" t="s">
        <v>54</v>
      </c>
      <c r="AU114" s="381" t="s">
        <v>54</v>
      </c>
      <c r="AV114" s="381" t="s">
        <v>54</v>
      </c>
      <c r="AW114" s="381" t="s">
        <v>54</v>
      </c>
      <c r="AX114" s="381" t="s">
        <v>54</v>
      </c>
      <c r="AY114" s="386" t="s">
        <v>54</v>
      </c>
      <c r="AZ114" s="397" t="s">
        <v>54</v>
      </c>
      <c r="BA114" s="490"/>
      <c r="BB114" s="397" t="s">
        <v>54</v>
      </c>
      <c r="BC114" s="490"/>
      <c r="BD114" s="397" t="s">
        <v>54</v>
      </c>
      <c r="BE114" s="397" t="s">
        <v>54</v>
      </c>
      <c r="BF114" s="397" t="s">
        <v>54</v>
      </c>
      <c r="BG114" s="381" t="s">
        <v>54</v>
      </c>
      <c r="BH114" s="381" t="s">
        <v>54</v>
      </c>
      <c r="BI114" s="381" t="s">
        <v>54</v>
      </c>
      <c r="BJ114" s="381" t="s">
        <v>54</v>
      </c>
      <c r="BK114" s="381" t="s">
        <v>54</v>
      </c>
      <c r="BL114" s="381" t="s">
        <v>54</v>
      </c>
      <c r="BM114" s="381" t="s">
        <v>54</v>
      </c>
      <c r="BN114" s="381" t="s">
        <v>54</v>
      </c>
      <c r="BO114" s="381" t="s">
        <v>54</v>
      </c>
      <c r="BP114" s="381" t="s">
        <v>54</v>
      </c>
      <c r="BQ114" s="381" t="s">
        <v>54</v>
      </c>
      <c r="BR114" s="381" t="s">
        <v>54</v>
      </c>
      <c r="BS114" s="381" t="s">
        <v>54</v>
      </c>
      <c r="BT114" s="381" t="s">
        <v>54</v>
      </c>
      <c r="BU114" s="383" t="s">
        <v>54</v>
      </c>
      <c r="BV114" s="381" t="s">
        <v>54</v>
      </c>
      <c r="BW114" s="381" t="s">
        <v>54</v>
      </c>
      <c r="BX114" s="381" t="s">
        <v>54</v>
      </c>
      <c r="BY114" s="381" t="s">
        <v>54</v>
      </c>
      <c r="BZ114" s="381" t="s">
        <v>54</v>
      </c>
      <c r="CA114" s="381" t="s">
        <v>54</v>
      </c>
      <c r="CB114" s="381" t="s">
        <v>54</v>
      </c>
      <c r="CC114" s="381" t="s">
        <v>54</v>
      </c>
      <c r="CD114" s="381" t="s">
        <v>54</v>
      </c>
      <c r="CE114" s="383" t="s">
        <v>54</v>
      </c>
      <c r="CF114" s="381" t="s">
        <v>54</v>
      </c>
      <c r="CG114" s="381" t="s">
        <v>54</v>
      </c>
      <c r="CH114" s="381" t="s">
        <v>54</v>
      </c>
      <c r="CI114" s="383" t="s">
        <v>54</v>
      </c>
      <c r="CJ114" s="381" t="s">
        <v>54</v>
      </c>
      <c r="CK114" s="381" t="s">
        <v>54</v>
      </c>
      <c r="CL114" s="381" t="s">
        <v>54</v>
      </c>
      <c r="CM114" s="499"/>
      <c r="CN114" s="499"/>
      <c r="CO114" s="492"/>
      <c r="CP114" s="492"/>
      <c r="CQ114" s="492"/>
      <c r="CR114" s="492"/>
      <c r="CS114" s="492"/>
      <c r="CT114" s="492"/>
      <c r="CU114" s="492"/>
      <c r="CV114" s="501"/>
      <c r="CW114" s="492"/>
      <c r="CX114" s="492"/>
      <c r="CY114" s="492"/>
      <c r="CZ114" s="492"/>
      <c r="DA114" s="492"/>
      <c r="DB114" s="492"/>
      <c r="DC114" s="492"/>
      <c r="DD114" s="496"/>
      <c r="DE114" s="492"/>
      <c r="DF114" s="492"/>
      <c r="DG114" s="496"/>
      <c r="DH114" s="496"/>
      <c r="DI114" s="496"/>
      <c r="DJ114" s="496"/>
      <c r="DK114" s="496"/>
      <c r="DL114" s="496"/>
      <c r="DM114" s="382" t="s">
        <v>54</v>
      </c>
      <c r="DN114" s="537"/>
      <c r="DO114" s="381" t="s">
        <v>54</v>
      </c>
      <c r="DP114" s="385" t="s">
        <v>54</v>
      </c>
      <c r="DQ114" s="385" t="s">
        <v>54</v>
      </c>
      <c r="DR114" s="381" t="s">
        <v>54</v>
      </c>
      <c r="DS114" s="381" t="s">
        <v>54</v>
      </c>
      <c r="DT114" s="381" t="s">
        <v>54</v>
      </c>
      <c r="DU114" s="381" t="s">
        <v>54</v>
      </c>
      <c r="DV114" s="381" t="s">
        <v>54</v>
      </c>
      <c r="DW114" s="381" t="s">
        <v>54</v>
      </c>
      <c r="DX114" s="537"/>
      <c r="DY114" s="405" t="s">
        <v>54</v>
      </c>
      <c r="DZ114" s="537"/>
      <c r="EA114" s="405" t="s">
        <v>54</v>
      </c>
      <c r="EB114" s="405" t="s">
        <v>54</v>
      </c>
      <c r="EC114" s="405" t="s">
        <v>54</v>
      </c>
      <c r="ED114" s="381" t="s">
        <v>54</v>
      </c>
      <c r="EE114" s="381" t="s">
        <v>54</v>
      </c>
      <c r="EF114" s="381" t="s">
        <v>54</v>
      </c>
      <c r="EG114" s="381" t="s">
        <v>54</v>
      </c>
      <c r="EH114" s="381" t="s">
        <v>54</v>
      </c>
      <c r="EI114" s="381" t="s">
        <v>54</v>
      </c>
      <c r="EJ114" s="381" t="s">
        <v>54</v>
      </c>
      <c r="EK114" s="381" t="s">
        <v>54</v>
      </c>
      <c r="EL114" s="381" t="s">
        <v>54</v>
      </c>
      <c r="EM114" s="381" t="s">
        <v>54</v>
      </c>
      <c r="EN114" s="381" t="s">
        <v>54</v>
      </c>
      <c r="EO114" s="381" t="s">
        <v>54</v>
      </c>
      <c r="EP114" s="381" t="s">
        <v>54</v>
      </c>
      <c r="EQ114" s="381" t="s">
        <v>54</v>
      </c>
      <c r="ER114" s="381" t="s">
        <v>54</v>
      </c>
      <c r="ES114" s="381" t="s">
        <v>54</v>
      </c>
      <c r="ET114" s="381" t="s">
        <v>54</v>
      </c>
      <c r="EU114" s="381" t="s">
        <v>54</v>
      </c>
    </row>
    <row r="115" spans="1:151" s="1" customFormat="1" ht="19.899999999999999" customHeight="1">
      <c r="A115" s="493"/>
      <c r="B115" s="493"/>
      <c r="C115" s="487"/>
      <c r="D115" s="510"/>
      <c r="E115" s="507"/>
      <c r="F115" s="510"/>
      <c r="G115" s="514"/>
      <c r="H115" s="510"/>
      <c r="I115" s="510"/>
      <c r="J115" s="510"/>
      <c r="K115" s="493"/>
      <c r="L115" s="497"/>
      <c r="M115" s="493"/>
      <c r="N115" s="487"/>
      <c r="O115" s="514"/>
      <c r="P115" s="518"/>
      <c r="Q115" s="493"/>
      <c r="R115" s="381" t="s">
        <v>54</v>
      </c>
      <c r="S115" s="381" t="s">
        <v>54</v>
      </c>
      <c r="T115" s="381" t="s">
        <v>54</v>
      </c>
      <c r="U115" s="381" t="s">
        <v>54</v>
      </c>
      <c r="V115" s="381" t="s">
        <v>54</v>
      </c>
      <c r="W115" s="381" t="s">
        <v>54</v>
      </c>
      <c r="X115" s="490"/>
      <c r="Y115" s="381" t="s">
        <v>54</v>
      </c>
      <c r="Z115" s="521"/>
      <c r="AA115" s="381" t="s">
        <v>54</v>
      </c>
      <c r="AB115" s="493"/>
      <c r="AC115" s="381" t="s">
        <v>54</v>
      </c>
      <c r="AD115" s="493"/>
      <c r="AE115" s="381" t="s">
        <v>54</v>
      </c>
      <c r="AF115" s="381" t="s">
        <v>54</v>
      </c>
      <c r="AG115" s="381" t="s">
        <v>54</v>
      </c>
      <c r="AH115" s="381" t="s">
        <v>54</v>
      </c>
      <c r="AI115" s="381" t="s">
        <v>54</v>
      </c>
      <c r="AJ115" s="484"/>
      <c r="AK115" s="484"/>
      <c r="AL115" s="484"/>
      <c r="AM115" s="484"/>
      <c r="AN115" s="484"/>
      <c r="AO115" s="484"/>
      <c r="AP115" s="381" t="s">
        <v>54</v>
      </c>
      <c r="AQ115" s="487"/>
      <c r="AR115" s="381" t="s">
        <v>54</v>
      </c>
      <c r="AS115" s="385" t="s">
        <v>54</v>
      </c>
      <c r="AT115" s="385" t="s">
        <v>54</v>
      </c>
      <c r="AU115" s="381" t="s">
        <v>54</v>
      </c>
      <c r="AV115" s="381" t="s">
        <v>54</v>
      </c>
      <c r="AW115" s="381" t="s">
        <v>54</v>
      </c>
      <c r="AX115" s="381" t="s">
        <v>54</v>
      </c>
      <c r="AY115" s="386" t="s">
        <v>54</v>
      </c>
      <c r="AZ115" s="397" t="s">
        <v>54</v>
      </c>
      <c r="BA115" s="490"/>
      <c r="BB115" s="397" t="s">
        <v>54</v>
      </c>
      <c r="BC115" s="490"/>
      <c r="BD115" s="397" t="s">
        <v>54</v>
      </c>
      <c r="BE115" s="397" t="s">
        <v>54</v>
      </c>
      <c r="BF115" s="397" t="s">
        <v>54</v>
      </c>
      <c r="BG115" s="381" t="s">
        <v>54</v>
      </c>
      <c r="BH115" s="381" t="s">
        <v>54</v>
      </c>
      <c r="BI115" s="381" t="s">
        <v>54</v>
      </c>
      <c r="BJ115" s="381" t="s">
        <v>54</v>
      </c>
      <c r="BK115" s="381" t="s">
        <v>54</v>
      </c>
      <c r="BL115" s="381" t="s">
        <v>54</v>
      </c>
      <c r="BM115" s="381" t="s">
        <v>54</v>
      </c>
      <c r="BN115" s="381" t="s">
        <v>54</v>
      </c>
      <c r="BO115" s="381" t="s">
        <v>54</v>
      </c>
      <c r="BP115" s="381" t="s">
        <v>54</v>
      </c>
      <c r="BQ115" s="381" t="s">
        <v>54</v>
      </c>
      <c r="BR115" s="381" t="s">
        <v>54</v>
      </c>
      <c r="BS115" s="381" t="s">
        <v>54</v>
      </c>
      <c r="BT115" s="381" t="s">
        <v>54</v>
      </c>
      <c r="BU115" s="383" t="s">
        <v>54</v>
      </c>
      <c r="BV115" s="381" t="s">
        <v>54</v>
      </c>
      <c r="BW115" s="381" t="s">
        <v>54</v>
      </c>
      <c r="BX115" s="381" t="s">
        <v>54</v>
      </c>
      <c r="BY115" s="381" t="s">
        <v>54</v>
      </c>
      <c r="BZ115" s="381" t="s">
        <v>54</v>
      </c>
      <c r="CA115" s="381" t="s">
        <v>54</v>
      </c>
      <c r="CB115" s="381" t="s">
        <v>54</v>
      </c>
      <c r="CC115" s="381" t="s">
        <v>54</v>
      </c>
      <c r="CD115" s="381" t="s">
        <v>54</v>
      </c>
      <c r="CE115" s="383" t="s">
        <v>54</v>
      </c>
      <c r="CF115" s="381" t="s">
        <v>54</v>
      </c>
      <c r="CG115" s="381" t="s">
        <v>54</v>
      </c>
      <c r="CH115" s="381" t="s">
        <v>54</v>
      </c>
      <c r="CI115" s="383" t="s">
        <v>54</v>
      </c>
      <c r="CJ115" s="381" t="s">
        <v>54</v>
      </c>
      <c r="CK115" s="381" t="s">
        <v>54</v>
      </c>
      <c r="CL115" s="381" t="s">
        <v>54</v>
      </c>
      <c r="CM115" s="499"/>
      <c r="CN115" s="499"/>
      <c r="CO115" s="493"/>
      <c r="CP115" s="493"/>
      <c r="CQ115" s="493"/>
      <c r="CR115" s="493"/>
      <c r="CS115" s="493"/>
      <c r="CT115" s="493"/>
      <c r="CU115" s="493"/>
      <c r="CV115" s="501"/>
      <c r="CW115" s="493"/>
      <c r="CX115" s="493"/>
      <c r="CY115" s="493"/>
      <c r="CZ115" s="493"/>
      <c r="DA115" s="493"/>
      <c r="DB115" s="493"/>
      <c r="DC115" s="493"/>
      <c r="DD115" s="497"/>
      <c r="DE115" s="493"/>
      <c r="DF115" s="493"/>
      <c r="DG115" s="497"/>
      <c r="DH115" s="497"/>
      <c r="DI115" s="497"/>
      <c r="DJ115" s="497"/>
      <c r="DK115" s="497"/>
      <c r="DL115" s="497"/>
      <c r="DM115" s="382" t="s">
        <v>54</v>
      </c>
      <c r="DN115" s="537"/>
      <c r="DO115" s="381" t="s">
        <v>54</v>
      </c>
      <c r="DP115" s="385" t="s">
        <v>54</v>
      </c>
      <c r="DQ115" s="385" t="s">
        <v>54</v>
      </c>
      <c r="DR115" s="381" t="s">
        <v>54</v>
      </c>
      <c r="DS115" s="381" t="s">
        <v>54</v>
      </c>
      <c r="DT115" s="381" t="s">
        <v>54</v>
      </c>
      <c r="DU115" s="381" t="s">
        <v>54</v>
      </c>
      <c r="DV115" s="381" t="s">
        <v>54</v>
      </c>
      <c r="DW115" s="381" t="s">
        <v>54</v>
      </c>
      <c r="DX115" s="537"/>
      <c r="DY115" s="405" t="s">
        <v>54</v>
      </c>
      <c r="DZ115" s="537"/>
      <c r="EA115" s="405" t="s">
        <v>54</v>
      </c>
      <c r="EB115" s="405" t="s">
        <v>54</v>
      </c>
      <c r="EC115" s="405" t="s">
        <v>54</v>
      </c>
      <c r="ED115" s="381" t="s">
        <v>54</v>
      </c>
      <c r="EE115" s="381" t="s">
        <v>54</v>
      </c>
      <c r="EF115" s="381" t="s">
        <v>54</v>
      </c>
      <c r="EG115" s="381" t="s">
        <v>54</v>
      </c>
      <c r="EH115" s="381" t="s">
        <v>54</v>
      </c>
      <c r="EI115" s="381" t="s">
        <v>54</v>
      </c>
      <c r="EJ115" s="381" t="s">
        <v>54</v>
      </c>
      <c r="EK115" s="381" t="s">
        <v>54</v>
      </c>
      <c r="EL115" s="381" t="s">
        <v>54</v>
      </c>
      <c r="EM115" s="381" t="s">
        <v>54</v>
      </c>
      <c r="EN115" s="381" t="s">
        <v>54</v>
      </c>
      <c r="EO115" s="381" t="s">
        <v>54</v>
      </c>
      <c r="EP115" s="381" t="s">
        <v>54</v>
      </c>
      <c r="EQ115" s="381" t="s">
        <v>54</v>
      </c>
      <c r="ER115" s="381" t="s">
        <v>54</v>
      </c>
      <c r="ES115" s="381" t="s">
        <v>54</v>
      </c>
      <c r="ET115" s="381" t="s">
        <v>54</v>
      </c>
      <c r="EU115" s="381" t="s">
        <v>54</v>
      </c>
    </row>
    <row r="116" spans="1:151" s="1" customFormat="1" ht="19.899999999999999" customHeight="1">
      <c r="A116" s="494"/>
      <c r="B116" s="494"/>
      <c r="C116" s="488"/>
      <c r="D116" s="511"/>
      <c r="E116" s="508"/>
      <c r="F116" s="511"/>
      <c r="G116" s="515"/>
      <c r="H116" s="511"/>
      <c r="I116" s="511"/>
      <c r="J116" s="511"/>
      <c r="K116" s="494"/>
      <c r="L116" s="498"/>
      <c r="M116" s="494"/>
      <c r="N116" s="488"/>
      <c r="O116" s="515"/>
      <c r="P116" s="519"/>
      <c r="Q116" s="494"/>
      <c r="R116" s="381" t="s">
        <v>54</v>
      </c>
      <c r="S116" s="381" t="s">
        <v>54</v>
      </c>
      <c r="T116" s="381" t="s">
        <v>54</v>
      </c>
      <c r="U116" s="381" t="s">
        <v>54</v>
      </c>
      <c r="V116" s="381" t="s">
        <v>54</v>
      </c>
      <c r="W116" s="381" t="s">
        <v>54</v>
      </c>
      <c r="X116" s="490"/>
      <c r="Y116" s="381" t="s">
        <v>54</v>
      </c>
      <c r="Z116" s="521"/>
      <c r="AA116" s="381" t="s">
        <v>54</v>
      </c>
      <c r="AB116" s="494"/>
      <c r="AC116" s="381" t="s">
        <v>54</v>
      </c>
      <c r="AD116" s="494"/>
      <c r="AE116" s="381" t="s">
        <v>54</v>
      </c>
      <c r="AF116" s="381" t="s">
        <v>54</v>
      </c>
      <c r="AG116" s="381" t="s">
        <v>54</v>
      </c>
      <c r="AH116" s="381" t="s">
        <v>54</v>
      </c>
      <c r="AI116" s="381" t="s">
        <v>54</v>
      </c>
      <c r="AJ116" s="485"/>
      <c r="AK116" s="485"/>
      <c r="AL116" s="485"/>
      <c r="AM116" s="485"/>
      <c r="AN116" s="485"/>
      <c r="AO116" s="485"/>
      <c r="AP116" s="381" t="s">
        <v>54</v>
      </c>
      <c r="AQ116" s="488"/>
      <c r="AR116" s="381" t="s">
        <v>54</v>
      </c>
      <c r="AS116" s="385" t="s">
        <v>54</v>
      </c>
      <c r="AT116" s="385" t="s">
        <v>54</v>
      </c>
      <c r="AU116" s="381" t="s">
        <v>54</v>
      </c>
      <c r="AV116" s="381" t="s">
        <v>54</v>
      </c>
      <c r="AW116" s="381" t="s">
        <v>54</v>
      </c>
      <c r="AX116" s="381" t="s">
        <v>54</v>
      </c>
      <c r="AY116" s="386" t="s">
        <v>54</v>
      </c>
      <c r="AZ116" s="397" t="s">
        <v>54</v>
      </c>
      <c r="BA116" s="490"/>
      <c r="BB116" s="397" t="s">
        <v>54</v>
      </c>
      <c r="BC116" s="490"/>
      <c r="BD116" s="397" t="s">
        <v>54</v>
      </c>
      <c r="BE116" s="397" t="s">
        <v>54</v>
      </c>
      <c r="BF116" s="397" t="s">
        <v>54</v>
      </c>
      <c r="BG116" s="381" t="s">
        <v>54</v>
      </c>
      <c r="BH116" s="381" t="s">
        <v>54</v>
      </c>
      <c r="BI116" s="381" t="s">
        <v>54</v>
      </c>
      <c r="BJ116" s="381" t="s">
        <v>54</v>
      </c>
      <c r="BK116" s="381" t="s">
        <v>54</v>
      </c>
      <c r="BL116" s="381" t="s">
        <v>54</v>
      </c>
      <c r="BM116" s="381" t="s">
        <v>54</v>
      </c>
      <c r="BN116" s="381" t="s">
        <v>54</v>
      </c>
      <c r="BO116" s="381" t="s">
        <v>54</v>
      </c>
      <c r="BP116" s="381" t="s">
        <v>54</v>
      </c>
      <c r="BQ116" s="381" t="s">
        <v>54</v>
      </c>
      <c r="BR116" s="381" t="s">
        <v>54</v>
      </c>
      <c r="BS116" s="381" t="s">
        <v>54</v>
      </c>
      <c r="BT116" s="381" t="s">
        <v>54</v>
      </c>
      <c r="BU116" s="383" t="s">
        <v>54</v>
      </c>
      <c r="BV116" s="381" t="s">
        <v>54</v>
      </c>
      <c r="BW116" s="381" t="s">
        <v>54</v>
      </c>
      <c r="BX116" s="381" t="s">
        <v>54</v>
      </c>
      <c r="BY116" s="381" t="s">
        <v>54</v>
      </c>
      <c r="BZ116" s="381" t="s">
        <v>54</v>
      </c>
      <c r="CA116" s="381" t="s">
        <v>54</v>
      </c>
      <c r="CB116" s="381" t="s">
        <v>54</v>
      </c>
      <c r="CC116" s="381" t="s">
        <v>54</v>
      </c>
      <c r="CD116" s="381" t="s">
        <v>54</v>
      </c>
      <c r="CE116" s="383" t="s">
        <v>54</v>
      </c>
      <c r="CF116" s="381" t="s">
        <v>54</v>
      </c>
      <c r="CG116" s="381" t="s">
        <v>54</v>
      </c>
      <c r="CH116" s="381" t="s">
        <v>54</v>
      </c>
      <c r="CI116" s="383" t="s">
        <v>54</v>
      </c>
      <c r="CJ116" s="381" t="s">
        <v>54</v>
      </c>
      <c r="CK116" s="381" t="s">
        <v>54</v>
      </c>
      <c r="CL116" s="381" t="s">
        <v>54</v>
      </c>
      <c r="CM116" s="500"/>
      <c r="CN116" s="500"/>
      <c r="CO116" s="494"/>
      <c r="CP116" s="494"/>
      <c r="CQ116" s="494"/>
      <c r="CR116" s="494"/>
      <c r="CS116" s="494"/>
      <c r="CT116" s="494"/>
      <c r="CU116" s="494"/>
      <c r="CV116" s="501"/>
      <c r="CW116" s="494"/>
      <c r="CX116" s="494"/>
      <c r="CY116" s="494"/>
      <c r="CZ116" s="494"/>
      <c r="DA116" s="494"/>
      <c r="DB116" s="494"/>
      <c r="DC116" s="494"/>
      <c r="DD116" s="498"/>
      <c r="DE116" s="494"/>
      <c r="DF116" s="494"/>
      <c r="DG116" s="498"/>
      <c r="DH116" s="498"/>
      <c r="DI116" s="498"/>
      <c r="DJ116" s="498"/>
      <c r="DK116" s="498"/>
      <c r="DL116" s="498"/>
      <c r="DM116" s="382" t="s">
        <v>54</v>
      </c>
      <c r="DN116" s="537"/>
      <c r="DO116" s="381" t="s">
        <v>54</v>
      </c>
      <c r="DP116" s="385" t="s">
        <v>54</v>
      </c>
      <c r="DQ116" s="385" t="s">
        <v>54</v>
      </c>
      <c r="DR116" s="381" t="s">
        <v>54</v>
      </c>
      <c r="DS116" s="381" t="s">
        <v>54</v>
      </c>
      <c r="DT116" s="381" t="s">
        <v>54</v>
      </c>
      <c r="DU116" s="381" t="s">
        <v>54</v>
      </c>
      <c r="DV116" s="381" t="s">
        <v>54</v>
      </c>
      <c r="DW116" s="381" t="s">
        <v>54</v>
      </c>
      <c r="DX116" s="537"/>
      <c r="DY116" s="405" t="s">
        <v>54</v>
      </c>
      <c r="DZ116" s="537"/>
      <c r="EA116" s="405" t="s">
        <v>54</v>
      </c>
      <c r="EB116" s="405" t="s">
        <v>54</v>
      </c>
      <c r="EC116" s="405" t="s">
        <v>54</v>
      </c>
      <c r="ED116" s="381" t="s">
        <v>54</v>
      </c>
      <c r="EE116" s="381" t="s">
        <v>54</v>
      </c>
      <c r="EF116" s="381" t="s">
        <v>54</v>
      </c>
      <c r="EG116" s="381" t="s">
        <v>54</v>
      </c>
      <c r="EH116" s="381" t="s">
        <v>54</v>
      </c>
      <c r="EI116" s="381" t="s">
        <v>54</v>
      </c>
      <c r="EJ116" s="381" t="s">
        <v>54</v>
      </c>
      <c r="EK116" s="381" t="s">
        <v>54</v>
      </c>
      <c r="EL116" s="381" t="s">
        <v>54</v>
      </c>
      <c r="EM116" s="381" t="s">
        <v>54</v>
      </c>
      <c r="EN116" s="381" t="s">
        <v>54</v>
      </c>
      <c r="EO116" s="381" t="s">
        <v>54</v>
      </c>
      <c r="EP116" s="381" t="s">
        <v>54</v>
      </c>
      <c r="EQ116" s="381" t="s">
        <v>54</v>
      </c>
      <c r="ER116" s="381" t="s">
        <v>54</v>
      </c>
      <c r="ES116" s="381" t="s">
        <v>54</v>
      </c>
      <c r="ET116" s="381" t="s">
        <v>54</v>
      </c>
      <c r="EU116" s="381" t="s">
        <v>54</v>
      </c>
    </row>
    <row r="117" spans="1:151" s="1" customFormat="1" ht="19.899999999999999" customHeight="1">
      <c r="A117" s="491">
        <v>15</v>
      </c>
      <c r="B117" s="491">
        <v>15</v>
      </c>
      <c r="C117" s="486" t="s">
        <v>2797</v>
      </c>
      <c r="D117" s="491" t="s">
        <v>3005</v>
      </c>
      <c r="E117" s="495" t="s">
        <v>2924</v>
      </c>
      <c r="F117" s="491" t="s">
        <v>3062</v>
      </c>
      <c r="G117" s="512" t="s">
        <v>3046</v>
      </c>
      <c r="H117" s="491" t="s">
        <v>3004</v>
      </c>
      <c r="I117" s="491" t="s">
        <v>3063</v>
      </c>
      <c r="J117" s="491" t="s">
        <v>52</v>
      </c>
      <c r="K117" s="516" t="s">
        <v>3130</v>
      </c>
      <c r="L117" s="495" t="s">
        <v>3133</v>
      </c>
      <c r="M117" s="491" t="s">
        <v>3030</v>
      </c>
      <c r="N117" s="486" t="s">
        <v>3133</v>
      </c>
      <c r="O117" s="512" t="s">
        <v>3047</v>
      </c>
      <c r="P117" s="517" t="s">
        <v>2902</v>
      </c>
      <c r="Q117" s="491">
        <v>2</v>
      </c>
      <c r="R117" s="381" t="s">
        <v>2968</v>
      </c>
      <c r="S117" s="381" t="s">
        <v>3095</v>
      </c>
      <c r="T117" s="381" t="s">
        <v>52</v>
      </c>
      <c r="U117" s="381" t="s">
        <v>52</v>
      </c>
      <c r="V117" s="381" t="s">
        <v>52</v>
      </c>
      <c r="W117" s="398">
        <v>2611</v>
      </c>
      <c r="X117" s="489">
        <f>W117+W118</f>
        <v>3525</v>
      </c>
      <c r="Y117" s="401">
        <v>70</v>
      </c>
      <c r="Z117" s="522">
        <v>70</v>
      </c>
      <c r="AA117" s="398">
        <v>2611</v>
      </c>
      <c r="AB117" s="491">
        <f>X117</f>
        <v>3525</v>
      </c>
      <c r="AC117" s="381" t="s">
        <v>52</v>
      </c>
      <c r="AD117" s="491" t="s">
        <v>52</v>
      </c>
      <c r="AE117" s="401">
        <v>73.099999999999994</v>
      </c>
      <c r="AF117" s="381" t="s">
        <v>52</v>
      </c>
      <c r="AG117" s="381" t="s">
        <v>52</v>
      </c>
      <c r="AH117" s="381" t="s">
        <v>52</v>
      </c>
      <c r="AI117" s="381" t="s">
        <v>52</v>
      </c>
      <c r="AJ117" s="483" t="s">
        <v>54</v>
      </c>
      <c r="AK117" s="483" t="s">
        <v>54</v>
      </c>
      <c r="AL117" s="483" t="s">
        <v>54</v>
      </c>
      <c r="AM117" s="483" t="s">
        <v>54</v>
      </c>
      <c r="AN117" s="483" t="s">
        <v>54</v>
      </c>
      <c r="AO117" s="483" t="s">
        <v>54</v>
      </c>
      <c r="AP117" s="381" t="s">
        <v>54</v>
      </c>
      <c r="AQ117" s="486" t="s">
        <v>54</v>
      </c>
      <c r="AR117" s="381" t="s">
        <v>54</v>
      </c>
      <c r="AS117" s="385" t="s">
        <v>54</v>
      </c>
      <c r="AT117" s="385" t="s">
        <v>54</v>
      </c>
      <c r="AU117" s="381" t="s">
        <v>54</v>
      </c>
      <c r="AV117" s="381" t="s">
        <v>54</v>
      </c>
      <c r="AW117" s="381" t="s">
        <v>54</v>
      </c>
      <c r="AX117" s="381" t="s">
        <v>54</v>
      </c>
      <c r="AY117" s="386" t="s">
        <v>54</v>
      </c>
      <c r="AZ117" s="397" t="s">
        <v>54</v>
      </c>
      <c r="BA117" s="489" t="s">
        <v>54</v>
      </c>
      <c r="BB117" s="397" t="s">
        <v>54</v>
      </c>
      <c r="BC117" s="489" t="s">
        <v>54</v>
      </c>
      <c r="BD117" s="397" t="s">
        <v>54</v>
      </c>
      <c r="BE117" s="397" t="s">
        <v>54</v>
      </c>
      <c r="BF117" s="397" t="s">
        <v>54</v>
      </c>
      <c r="BG117" s="381" t="s">
        <v>54</v>
      </c>
      <c r="BH117" s="381" t="s">
        <v>54</v>
      </c>
      <c r="BI117" s="381" t="s">
        <v>54</v>
      </c>
      <c r="BJ117" s="381" t="s">
        <v>54</v>
      </c>
      <c r="BK117" s="381" t="s">
        <v>54</v>
      </c>
      <c r="BL117" s="381" t="s">
        <v>54</v>
      </c>
      <c r="BM117" s="381" t="s">
        <v>54</v>
      </c>
      <c r="BN117" s="381" t="s">
        <v>54</v>
      </c>
      <c r="BO117" s="381" t="s">
        <v>54</v>
      </c>
      <c r="BP117" s="381" t="s">
        <v>54</v>
      </c>
      <c r="BQ117" s="381" t="s">
        <v>54</v>
      </c>
      <c r="BR117" s="381" t="s">
        <v>54</v>
      </c>
      <c r="BS117" s="381" t="s">
        <v>54</v>
      </c>
      <c r="BT117" s="381" t="s">
        <v>54</v>
      </c>
      <c r="BU117" s="383" t="s">
        <v>54</v>
      </c>
      <c r="BV117" s="381" t="s">
        <v>54</v>
      </c>
      <c r="BW117" s="381" t="s">
        <v>54</v>
      </c>
      <c r="BX117" s="381" t="s">
        <v>54</v>
      </c>
      <c r="BY117" s="381" t="s">
        <v>54</v>
      </c>
      <c r="BZ117" s="381" t="s">
        <v>54</v>
      </c>
      <c r="CA117" s="381" t="s">
        <v>54</v>
      </c>
      <c r="CB117" s="381" t="s">
        <v>54</v>
      </c>
      <c r="CC117" s="381" t="s">
        <v>54</v>
      </c>
      <c r="CD117" s="381" t="s">
        <v>54</v>
      </c>
      <c r="CE117" s="383" t="s">
        <v>54</v>
      </c>
      <c r="CF117" s="381" t="s">
        <v>54</v>
      </c>
      <c r="CG117" s="381" t="s">
        <v>54</v>
      </c>
      <c r="CH117" s="381" t="s">
        <v>54</v>
      </c>
      <c r="CI117" s="383" t="s">
        <v>54</v>
      </c>
      <c r="CJ117" s="381" t="s">
        <v>54</v>
      </c>
      <c r="CK117" s="381" t="s">
        <v>54</v>
      </c>
      <c r="CL117" s="381" t="s">
        <v>54</v>
      </c>
      <c r="CM117" s="483" t="s">
        <v>54</v>
      </c>
      <c r="CN117" s="483" t="s">
        <v>54</v>
      </c>
      <c r="CO117" s="491" t="s">
        <v>54</v>
      </c>
      <c r="CP117" s="491" t="s">
        <v>54</v>
      </c>
      <c r="CQ117" s="491" t="s">
        <v>54</v>
      </c>
      <c r="CR117" s="491" t="s">
        <v>54</v>
      </c>
      <c r="CS117" s="491" t="s">
        <v>54</v>
      </c>
      <c r="CT117" s="491" t="s">
        <v>2026</v>
      </c>
      <c r="CU117" s="491">
        <v>2015</v>
      </c>
      <c r="CV117" s="501" t="s">
        <v>2864</v>
      </c>
      <c r="CW117" s="491" t="s">
        <v>1975</v>
      </c>
      <c r="CX117" s="491" t="s">
        <v>54</v>
      </c>
      <c r="CY117" s="491" t="s">
        <v>54</v>
      </c>
      <c r="CZ117" s="491" t="s">
        <v>54</v>
      </c>
      <c r="DA117" s="491" t="s">
        <v>54</v>
      </c>
      <c r="DB117" s="491" t="s">
        <v>54</v>
      </c>
      <c r="DC117" s="491" t="s">
        <v>3008</v>
      </c>
      <c r="DD117" s="495" t="s">
        <v>3101</v>
      </c>
      <c r="DE117" s="491" t="s">
        <v>3011</v>
      </c>
      <c r="DF117" s="491" t="s">
        <v>52</v>
      </c>
      <c r="DG117" s="495" t="s">
        <v>54</v>
      </c>
      <c r="DH117" s="495" t="s">
        <v>54</v>
      </c>
      <c r="DI117" s="495" t="s">
        <v>54</v>
      </c>
      <c r="DJ117" s="495" t="s">
        <v>54</v>
      </c>
      <c r="DK117" s="495" t="s">
        <v>54</v>
      </c>
      <c r="DL117" s="495" t="s">
        <v>54</v>
      </c>
      <c r="DM117" s="382" t="s">
        <v>54</v>
      </c>
      <c r="DN117" s="536" t="s">
        <v>54</v>
      </c>
      <c r="DO117" s="381" t="s">
        <v>54</v>
      </c>
      <c r="DP117" s="385" t="s">
        <v>54</v>
      </c>
      <c r="DQ117" s="385" t="s">
        <v>54</v>
      </c>
      <c r="DR117" s="381" t="s">
        <v>54</v>
      </c>
      <c r="DS117" s="381" t="s">
        <v>54</v>
      </c>
      <c r="DT117" s="381" t="s">
        <v>54</v>
      </c>
      <c r="DU117" s="381" t="s">
        <v>54</v>
      </c>
      <c r="DV117" s="381" t="s">
        <v>54</v>
      </c>
      <c r="DW117" s="381" t="s">
        <v>54</v>
      </c>
      <c r="DX117" s="536" t="s">
        <v>54</v>
      </c>
      <c r="DY117" s="405" t="s">
        <v>54</v>
      </c>
      <c r="DZ117" s="536" t="s">
        <v>54</v>
      </c>
      <c r="EA117" s="405" t="s">
        <v>54</v>
      </c>
      <c r="EB117" s="405" t="s">
        <v>54</v>
      </c>
      <c r="EC117" s="405" t="s">
        <v>54</v>
      </c>
      <c r="ED117" s="381" t="s">
        <v>54</v>
      </c>
      <c r="EE117" s="381" t="s">
        <v>54</v>
      </c>
      <c r="EF117" s="381" t="s">
        <v>54</v>
      </c>
      <c r="EG117" s="381" t="s">
        <v>54</v>
      </c>
      <c r="EH117" s="381" t="s">
        <v>54</v>
      </c>
      <c r="EI117" s="381" t="s">
        <v>54</v>
      </c>
      <c r="EJ117" s="381" t="s">
        <v>54</v>
      </c>
      <c r="EK117" s="381" t="s">
        <v>54</v>
      </c>
      <c r="EL117" s="381" t="s">
        <v>54</v>
      </c>
      <c r="EM117" s="381" t="s">
        <v>54</v>
      </c>
      <c r="EN117" s="381" t="s">
        <v>54</v>
      </c>
      <c r="EO117" s="381" t="s">
        <v>54</v>
      </c>
      <c r="EP117" s="381" t="s">
        <v>54</v>
      </c>
      <c r="EQ117" s="381" t="s">
        <v>54</v>
      </c>
      <c r="ER117" s="381" t="s">
        <v>54</v>
      </c>
      <c r="ES117" s="381" t="s">
        <v>54</v>
      </c>
      <c r="ET117" s="381" t="s">
        <v>54</v>
      </c>
      <c r="EU117" s="381" t="s">
        <v>54</v>
      </c>
    </row>
    <row r="118" spans="1:151" s="1" customFormat="1" ht="19.899999999999999" customHeight="1">
      <c r="A118" s="492"/>
      <c r="B118" s="492"/>
      <c r="C118" s="487"/>
      <c r="D118" s="509"/>
      <c r="E118" s="506"/>
      <c r="F118" s="509"/>
      <c r="G118" s="513"/>
      <c r="H118" s="509"/>
      <c r="I118" s="509"/>
      <c r="J118" s="509"/>
      <c r="K118" s="492"/>
      <c r="L118" s="496"/>
      <c r="M118" s="492"/>
      <c r="N118" s="487"/>
      <c r="O118" s="513"/>
      <c r="P118" s="518"/>
      <c r="Q118" s="492"/>
      <c r="R118" s="381" t="s">
        <v>2728</v>
      </c>
      <c r="S118" s="381" t="s">
        <v>3095</v>
      </c>
      <c r="T118" s="381" t="s">
        <v>52</v>
      </c>
      <c r="U118" s="381" t="s">
        <v>52</v>
      </c>
      <c r="V118" s="381" t="s">
        <v>52</v>
      </c>
      <c r="W118" s="398">
        <v>914</v>
      </c>
      <c r="X118" s="490"/>
      <c r="Y118" s="401">
        <v>70</v>
      </c>
      <c r="Z118" s="523"/>
      <c r="AA118" s="398">
        <v>914</v>
      </c>
      <c r="AB118" s="492"/>
      <c r="AC118" s="381" t="s">
        <v>52</v>
      </c>
      <c r="AD118" s="492"/>
      <c r="AE118" s="401">
        <v>72.400000000000006</v>
      </c>
      <c r="AF118" s="381" t="s">
        <v>52</v>
      </c>
      <c r="AG118" s="381" t="s">
        <v>52</v>
      </c>
      <c r="AH118" s="381" t="s">
        <v>52</v>
      </c>
      <c r="AI118" s="381" t="s">
        <v>52</v>
      </c>
      <c r="AJ118" s="484"/>
      <c r="AK118" s="484"/>
      <c r="AL118" s="484"/>
      <c r="AM118" s="484"/>
      <c r="AN118" s="484"/>
      <c r="AO118" s="484"/>
      <c r="AP118" s="381" t="s">
        <v>54</v>
      </c>
      <c r="AQ118" s="487"/>
      <c r="AR118" s="381" t="s">
        <v>54</v>
      </c>
      <c r="AS118" s="385" t="s">
        <v>54</v>
      </c>
      <c r="AT118" s="385" t="s">
        <v>54</v>
      </c>
      <c r="AU118" s="381" t="s">
        <v>54</v>
      </c>
      <c r="AV118" s="381" t="s">
        <v>54</v>
      </c>
      <c r="AW118" s="381" t="s">
        <v>54</v>
      </c>
      <c r="AX118" s="381" t="s">
        <v>54</v>
      </c>
      <c r="AY118" s="386" t="s">
        <v>54</v>
      </c>
      <c r="AZ118" s="397" t="s">
        <v>54</v>
      </c>
      <c r="BA118" s="490"/>
      <c r="BB118" s="397" t="s">
        <v>54</v>
      </c>
      <c r="BC118" s="490"/>
      <c r="BD118" s="397" t="s">
        <v>54</v>
      </c>
      <c r="BE118" s="397" t="s">
        <v>54</v>
      </c>
      <c r="BF118" s="397" t="s">
        <v>54</v>
      </c>
      <c r="BG118" s="381" t="s">
        <v>54</v>
      </c>
      <c r="BH118" s="381" t="s">
        <v>54</v>
      </c>
      <c r="BI118" s="381" t="s">
        <v>54</v>
      </c>
      <c r="BJ118" s="381" t="s">
        <v>54</v>
      </c>
      <c r="BK118" s="381" t="s">
        <v>54</v>
      </c>
      <c r="BL118" s="381" t="s">
        <v>54</v>
      </c>
      <c r="BM118" s="381" t="s">
        <v>54</v>
      </c>
      <c r="BN118" s="381" t="s">
        <v>54</v>
      </c>
      <c r="BO118" s="381" t="s">
        <v>54</v>
      </c>
      <c r="BP118" s="381" t="s">
        <v>54</v>
      </c>
      <c r="BQ118" s="381" t="s">
        <v>54</v>
      </c>
      <c r="BR118" s="381" t="s">
        <v>54</v>
      </c>
      <c r="BS118" s="381" t="s">
        <v>54</v>
      </c>
      <c r="BT118" s="381" t="s">
        <v>54</v>
      </c>
      <c r="BU118" s="383" t="s">
        <v>54</v>
      </c>
      <c r="BV118" s="381" t="s">
        <v>54</v>
      </c>
      <c r="BW118" s="381" t="s">
        <v>54</v>
      </c>
      <c r="BX118" s="381" t="s">
        <v>54</v>
      </c>
      <c r="BY118" s="381" t="s">
        <v>54</v>
      </c>
      <c r="BZ118" s="381" t="s">
        <v>54</v>
      </c>
      <c r="CA118" s="381" t="s">
        <v>54</v>
      </c>
      <c r="CB118" s="381" t="s">
        <v>54</v>
      </c>
      <c r="CC118" s="381" t="s">
        <v>54</v>
      </c>
      <c r="CD118" s="381" t="s">
        <v>54</v>
      </c>
      <c r="CE118" s="383" t="s">
        <v>54</v>
      </c>
      <c r="CF118" s="381" t="s">
        <v>54</v>
      </c>
      <c r="CG118" s="381" t="s">
        <v>54</v>
      </c>
      <c r="CH118" s="381" t="s">
        <v>54</v>
      </c>
      <c r="CI118" s="383" t="s">
        <v>54</v>
      </c>
      <c r="CJ118" s="381" t="s">
        <v>54</v>
      </c>
      <c r="CK118" s="381" t="s">
        <v>54</v>
      </c>
      <c r="CL118" s="381" t="s">
        <v>54</v>
      </c>
      <c r="CM118" s="499"/>
      <c r="CN118" s="499"/>
      <c r="CO118" s="492"/>
      <c r="CP118" s="492"/>
      <c r="CQ118" s="492"/>
      <c r="CR118" s="492"/>
      <c r="CS118" s="492"/>
      <c r="CT118" s="492"/>
      <c r="CU118" s="492"/>
      <c r="CV118" s="501"/>
      <c r="CW118" s="492"/>
      <c r="CX118" s="492"/>
      <c r="CY118" s="492"/>
      <c r="CZ118" s="492"/>
      <c r="DA118" s="492"/>
      <c r="DB118" s="492"/>
      <c r="DC118" s="492"/>
      <c r="DD118" s="496"/>
      <c r="DE118" s="492"/>
      <c r="DF118" s="492"/>
      <c r="DG118" s="496"/>
      <c r="DH118" s="496"/>
      <c r="DI118" s="496"/>
      <c r="DJ118" s="496"/>
      <c r="DK118" s="496"/>
      <c r="DL118" s="496"/>
      <c r="DM118" s="382" t="s">
        <v>54</v>
      </c>
      <c r="DN118" s="537"/>
      <c r="DO118" s="381" t="s">
        <v>54</v>
      </c>
      <c r="DP118" s="385" t="s">
        <v>54</v>
      </c>
      <c r="DQ118" s="385" t="s">
        <v>54</v>
      </c>
      <c r="DR118" s="381" t="s">
        <v>54</v>
      </c>
      <c r="DS118" s="381" t="s">
        <v>54</v>
      </c>
      <c r="DT118" s="381" t="s">
        <v>54</v>
      </c>
      <c r="DU118" s="381" t="s">
        <v>54</v>
      </c>
      <c r="DV118" s="381" t="s">
        <v>54</v>
      </c>
      <c r="DW118" s="381" t="s">
        <v>54</v>
      </c>
      <c r="DX118" s="537"/>
      <c r="DY118" s="405" t="s">
        <v>54</v>
      </c>
      <c r="DZ118" s="537"/>
      <c r="EA118" s="405" t="s">
        <v>54</v>
      </c>
      <c r="EB118" s="405" t="s">
        <v>54</v>
      </c>
      <c r="EC118" s="405" t="s">
        <v>54</v>
      </c>
      <c r="ED118" s="381" t="s">
        <v>54</v>
      </c>
      <c r="EE118" s="381" t="s">
        <v>54</v>
      </c>
      <c r="EF118" s="381" t="s">
        <v>54</v>
      </c>
      <c r="EG118" s="381" t="s">
        <v>54</v>
      </c>
      <c r="EH118" s="381" t="s">
        <v>54</v>
      </c>
      <c r="EI118" s="381" t="s">
        <v>54</v>
      </c>
      <c r="EJ118" s="381" t="s">
        <v>54</v>
      </c>
      <c r="EK118" s="381" t="s">
        <v>54</v>
      </c>
      <c r="EL118" s="381" t="s">
        <v>54</v>
      </c>
      <c r="EM118" s="381" t="s">
        <v>54</v>
      </c>
      <c r="EN118" s="381" t="s">
        <v>54</v>
      </c>
      <c r="EO118" s="381" t="s">
        <v>54</v>
      </c>
      <c r="EP118" s="381" t="s">
        <v>54</v>
      </c>
      <c r="EQ118" s="381" t="s">
        <v>54</v>
      </c>
      <c r="ER118" s="381" t="s">
        <v>54</v>
      </c>
      <c r="ES118" s="381" t="s">
        <v>54</v>
      </c>
      <c r="ET118" s="381" t="s">
        <v>54</v>
      </c>
      <c r="EU118" s="381" t="s">
        <v>54</v>
      </c>
    </row>
    <row r="119" spans="1:151" s="1" customFormat="1" ht="19.899999999999999" customHeight="1">
      <c r="A119" s="493"/>
      <c r="B119" s="493"/>
      <c r="C119" s="487"/>
      <c r="D119" s="510"/>
      <c r="E119" s="507"/>
      <c r="F119" s="510"/>
      <c r="G119" s="514"/>
      <c r="H119" s="510"/>
      <c r="I119" s="510"/>
      <c r="J119" s="510"/>
      <c r="K119" s="493"/>
      <c r="L119" s="497"/>
      <c r="M119" s="493"/>
      <c r="N119" s="487"/>
      <c r="O119" s="514"/>
      <c r="P119" s="518"/>
      <c r="Q119" s="493"/>
      <c r="R119" s="381" t="s">
        <v>54</v>
      </c>
      <c r="S119" s="381" t="s">
        <v>54</v>
      </c>
      <c r="T119" s="381" t="s">
        <v>54</v>
      </c>
      <c r="U119" s="381" t="s">
        <v>54</v>
      </c>
      <c r="V119" s="381" t="s">
        <v>54</v>
      </c>
      <c r="W119" s="381" t="s">
        <v>54</v>
      </c>
      <c r="X119" s="490"/>
      <c r="Y119" s="2" t="s">
        <v>54</v>
      </c>
      <c r="Z119" s="523"/>
      <c r="AA119" s="381" t="s">
        <v>54</v>
      </c>
      <c r="AB119" s="493"/>
      <c r="AC119" s="381" t="s">
        <v>54</v>
      </c>
      <c r="AD119" s="493"/>
      <c r="AE119" s="2" t="s">
        <v>54</v>
      </c>
      <c r="AF119" s="381" t="s">
        <v>54</v>
      </c>
      <c r="AG119" s="381" t="s">
        <v>54</v>
      </c>
      <c r="AH119" s="381" t="s">
        <v>54</v>
      </c>
      <c r="AI119" s="381" t="s">
        <v>54</v>
      </c>
      <c r="AJ119" s="484"/>
      <c r="AK119" s="484"/>
      <c r="AL119" s="484"/>
      <c r="AM119" s="484"/>
      <c r="AN119" s="484"/>
      <c r="AO119" s="484"/>
      <c r="AP119" s="381" t="s">
        <v>54</v>
      </c>
      <c r="AQ119" s="487"/>
      <c r="AR119" s="381" t="s">
        <v>54</v>
      </c>
      <c r="AS119" s="385" t="s">
        <v>54</v>
      </c>
      <c r="AT119" s="385" t="s">
        <v>54</v>
      </c>
      <c r="AU119" s="381" t="s">
        <v>54</v>
      </c>
      <c r="AV119" s="381" t="s">
        <v>54</v>
      </c>
      <c r="AW119" s="381" t="s">
        <v>54</v>
      </c>
      <c r="AX119" s="381" t="s">
        <v>54</v>
      </c>
      <c r="AY119" s="386" t="s">
        <v>54</v>
      </c>
      <c r="AZ119" s="397" t="s">
        <v>54</v>
      </c>
      <c r="BA119" s="490"/>
      <c r="BB119" s="397" t="s">
        <v>54</v>
      </c>
      <c r="BC119" s="490"/>
      <c r="BD119" s="397" t="s">
        <v>54</v>
      </c>
      <c r="BE119" s="397" t="s">
        <v>54</v>
      </c>
      <c r="BF119" s="397" t="s">
        <v>54</v>
      </c>
      <c r="BG119" s="381" t="s">
        <v>54</v>
      </c>
      <c r="BH119" s="381" t="s">
        <v>54</v>
      </c>
      <c r="BI119" s="381" t="s">
        <v>54</v>
      </c>
      <c r="BJ119" s="381" t="s">
        <v>54</v>
      </c>
      <c r="BK119" s="381" t="s">
        <v>54</v>
      </c>
      <c r="BL119" s="381" t="s">
        <v>54</v>
      </c>
      <c r="BM119" s="381" t="s">
        <v>54</v>
      </c>
      <c r="BN119" s="381" t="s">
        <v>54</v>
      </c>
      <c r="BO119" s="381" t="s">
        <v>54</v>
      </c>
      <c r="BP119" s="381" t="s">
        <v>54</v>
      </c>
      <c r="BQ119" s="381" t="s">
        <v>54</v>
      </c>
      <c r="BR119" s="381" t="s">
        <v>54</v>
      </c>
      <c r="BS119" s="381" t="s">
        <v>54</v>
      </c>
      <c r="BT119" s="381" t="s">
        <v>54</v>
      </c>
      <c r="BU119" s="383" t="s">
        <v>54</v>
      </c>
      <c r="BV119" s="381" t="s">
        <v>54</v>
      </c>
      <c r="BW119" s="381" t="s">
        <v>54</v>
      </c>
      <c r="BX119" s="381" t="s">
        <v>54</v>
      </c>
      <c r="BY119" s="381" t="s">
        <v>54</v>
      </c>
      <c r="BZ119" s="381" t="s">
        <v>54</v>
      </c>
      <c r="CA119" s="381" t="s">
        <v>54</v>
      </c>
      <c r="CB119" s="381" t="s">
        <v>54</v>
      </c>
      <c r="CC119" s="381" t="s">
        <v>54</v>
      </c>
      <c r="CD119" s="381" t="s">
        <v>54</v>
      </c>
      <c r="CE119" s="383" t="s">
        <v>54</v>
      </c>
      <c r="CF119" s="381" t="s">
        <v>54</v>
      </c>
      <c r="CG119" s="381" t="s">
        <v>54</v>
      </c>
      <c r="CH119" s="381" t="s">
        <v>54</v>
      </c>
      <c r="CI119" s="383" t="s">
        <v>54</v>
      </c>
      <c r="CJ119" s="381" t="s">
        <v>54</v>
      </c>
      <c r="CK119" s="381" t="s">
        <v>54</v>
      </c>
      <c r="CL119" s="381" t="s">
        <v>54</v>
      </c>
      <c r="CM119" s="499"/>
      <c r="CN119" s="499"/>
      <c r="CO119" s="493"/>
      <c r="CP119" s="493"/>
      <c r="CQ119" s="493"/>
      <c r="CR119" s="493"/>
      <c r="CS119" s="493"/>
      <c r="CT119" s="493"/>
      <c r="CU119" s="493"/>
      <c r="CV119" s="501"/>
      <c r="CW119" s="493"/>
      <c r="CX119" s="493"/>
      <c r="CY119" s="493"/>
      <c r="CZ119" s="493"/>
      <c r="DA119" s="493"/>
      <c r="DB119" s="493"/>
      <c r="DC119" s="493"/>
      <c r="DD119" s="497"/>
      <c r="DE119" s="493"/>
      <c r="DF119" s="493"/>
      <c r="DG119" s="497"/>
      <c r="DH119" s="497"/>
      <c r="DI119" s="497"/>
      <c r="DJ119" s="497"/>
      <c r="DK119" s="497"/>
      <c r="DL119" s="497"/>
      <c r="DM119" s="382" t="s">
        <v>54</v>
      </c>
      <c r="DN119" s="537"/>
      <c r="DO119" s="381" t="s">
        <v>54</v>
      </c>
      <c r="DP119" s="385" t="s">
        <v>54</v>
      </c>
      <c r="DQ119" s="385" t="s">
        <v>54</v>
      </c>
      <c r="DR119" s="381" t="s">
        <v>54</v>
      </c>
      <c r="DS119" s="381" t="s">
        <v>54</v>
      </c>
      <c r="DT119" s="381" t="s">
        <v>54</v>
      </c>
      <c r="DU119" s="381" t="s">
        <v>54</v>
      </c>
      <c r="DV119" s="381" t="s">
        <v>54</v>
      </c>
      <c r="DW119" s="381" t="s">
        <v>54</v>
      </c>
      <c r="DX119" s="537"/>
      <c r="DY119" s="405" t="s">
        <v>54</v>
      </c>
      <c r="DZ119" s="537"/>
      <c r="EA119" s="405" t="s">
        <v>54</v>
      </c>
      <c r="EB119" s="405" t="s">
        <v>54</v>
      </c>
      <c r="EC119" s="405" t="s">
        <v>54</v>
      </c>
      <c r="ED119" s="381" t="s">
        <v>54</v>
      </c>
      <c r="EE119" s="381" t="s">
        <v>54</v>
      </c>
      <c r="EF119" s="381" t="s">
        <v>54</v>
      </c>
      <c r="EG119" s="381" t="s">
        <v>54</v>
      </c>
      <c r="EH119" s="381" t="s">
        <v>54</v>
      </c>
      <c r="EI119" s="381" t="s">
        <v>54</v>
      </c>
      <c r="EJ119" s="381" t="s">
        <v>54</v>
      </c>
      <c r="EK119" s="381" t="s">
        <v>54</v>
      </c>
      <c r="EL119" s="381" t="s">
        <v>54</v>
      </c>
      <c r="EM119" s="381" t="s">
        <v>54</v>
      </c>
      <c r="EN119" s="381" t="s">
        <v>54</v>
      </c>
      <c r="EO119" s="381" t="s">
        <v>54</v>
      </c>
      <c r="EP119" s="381" t="s">
        <v>54</v>
      </c>
      <c r="EQ119" s="381" t="s">
        <v>54</v>
      </c>
      <c r="ER119" s="381" t="s">
        <v>54</v>
      </c>
      <c r="ES119" s="381" t="s">
        <v>54</v>
      </c>
      <c r="ET119" s="381" t="s">
        <v>54</v>
      </c>
      <c r="EU119" s="381" t="s">
        <v>54</v>
      </c>
    </row>
    <row r="120" spans="1:151" s="1" customFormat="1" ht="19.5" customHeight="1">
      <c r="A120" s="494"/>
      <c r="B120" s="494"/>
      <c r="C120" s="488"/>
      <c r="D120" s="511"/>
      <c r="E120" s="508"/>
      <c r="F120" s="511"/>
      <c r="G120" s="515"/>
      <c r="H120" s="511"/>
      <c r="I120" s="511"/>
      <c r="J120" s="511"/>
      <c r="K120" s="494"/>
      <c r="L120" s="498"/>
      <c r="M120" s="494"/>
      <c r="N120" s="488"/>
      <c r="O120" s="515"/>
      <c r="P120" s="519"/>
      <c r="Q120" s="494"/>
      <c r="R120" s="381" t="s">
        <v>54</v>
      </c>
      <c r="S120" s="381" t="s">
        <v>54</v>
      </c>
      <c r="T120" s="381" t="s">
        <v>54</v>
      </c>
      <c r="U120" s="381" t="s">
        <v>54</v>
      </c>
      <c r="V120" s="381" t="s">
        <v>54</v>
      </c>
      <c r="W120" s="381" t="s">
        <v>54</v>
      </c>
      <c r="X120" s="490"/>
      <c r="Y120" s="2" t="s">
        <v>54</v>
      </c>
      <c r="Z120" s="523"/>
      <c r="AA120" s="381" t="s">
        <v>54</v>
      </c>
      <c r="AB120" s="494"/>
      <c r="AC120" s="381" t="s">
        <v>54</v>
      </c>
      <c r="AD120" s="494"/>
      <c r="AE120" s="2" t="s">
        <v>54</v>
      </c>
      <c r="AF120" s="381" t="s">
        <v>54</v>
      </c>
      <c r="AG120" s="381" t="s">
        <v>54</v>
      </c>
      <c r="AH120" s="381" t="s">
        <v>54</v>
      </c>
      <c r="AI120" s="381" t="s">
        <v>54</v>
      </c>
      <c r="AJ120" s="485"/>
      <c r="AK120" s="485"/>
      <c r="AL120" s="485"/>
      <c r="AM120" s="485"/>
      <c r="AN120" s="485"/>
      <c r="AO120" s="485"/>
      <c r="AP120" s="381" t="s">
        <v>54</v>
      </c>
      <c r="AQ120" s="488"/>
      <c r="AR120" s="381" t="s">
        <v>54</v>
      </c>
      <c r="AS120" s="385" t="s">
        <v>54</v>
      </c>
      <c r="AT120" s="385" t="s">
        <v>54</v>
      </c>
      <c r="AU120" s="381" t="s">
        <v>54</v>
      </c>
      <c r="AV120" s="381" t="s">
        <v>54</v>
      </c>
      <c r="AW120" s="381" t="s">
        <v>54</v>
      </c>
      <c r="AX120" s="381" t="s">
        <v>54</v>
      </c>
      <c r="AY120" s="386" t="s">
        <v>54</v>
      </c>
      <c r="AZ120" s="397" t="s">
        <v>54</v>
      </c>
      <c r="BA120" s="490"/>
      <c r="BB120" s="397" t="s">
        <v>54</v>
      </c>
      <c r="BC120" s="490"/>
      <c r="BD120" s="397" t="s">
        <v>54</v>
      </c>
      <c r="BE120" s="397" t="s">
        <v>54</v>
      </c>
      <c r="BF120" s="397" t="s">
        <v>54</v>
      </c>
      <c r="BG120" s="381" t="s">
        <v>54</v>
      </c>
      <c r="BH120" s="381" t="s">
        <v>54</v>
      </c>
      <c r="BI120" s="381" t="s">
        <v>54</v>
      </c>
      <c r="BJ120" s="381" t="s">
        <v>54</v>
      </c>
      <c r="BK120" s="381" t="s">
        <v>54</v>
      </c>
      <c r="BL120" s="381" t="s">
        <v>54</v>
      </c>
      <c r="BM120" s="381" t="s">
        <v>54</v>
      </c>
      <c r="BN120" s="381" t="s">
        <v>54</v>
      </c>
      <c r="BO120" s="381" t="s">
        <v>54</v>
      </c>
      <c r="BP120" s="381" t="s">
        <v>54</v>
      </c>
      <c r="BQ120" s="381" t="s">
        <v>54</v>
      </c>
      <c r="BR120" s="381" t="s">
        <v>54</v>
      </c>
      <c r="BS120" s="381" t="s">
        <v>54</v>
      </c>
      <c r="BT120" s="381" t="s">
        <v>54</v>
      </c>
      <c r="BU120" s="383" t="s">
        <v>54</v>
      </c>
      <c r="BV120" s="381" t="s">
        <v>54</v>
      </c>
      <c r="BW120" s="381" t="s">
        <v>54</v>
      </c>
      <c r="BX120" s="381" t="s">
        <v>54</v>
      </c>
      <c r="BY120" s="381" t="s">
        <v>54</v>
      </c>
      <c r="BZ120" s="381" t="s">
        <v>54</v>
      </c>
      <c r="CA120" s="381" t="s">
        <v>54</v>
      </c>
      <c r="CB120" s="381" t="s">
        <v>54</v>
      </c>
      <c r="CC120" s="381" t="s">
        <v>54</v>
      </c>
      <c r="CD120" s="381" t="s">
        <v>54</v>
      </c>
      <c r="CE120" s="383" t="s">
        <v>54</v>
      </c>
      <c r="CF120" s="381" t="s">
        <v>54</v>
      </c>
      <c r="CG120" s="381" t="s">
        <v>54</v>
      </c>
      <c r="CH120" s="381" t="s">
        <v>54</v>
      </c>
      <c r="CI120" s="383" t="s">
        <v>54</v>
      </c>
      <c r="CJ120" s="381" t="s">
        <v>54</v>
      </c>
      <c r="CK120" s="381" t="s">
        <v>54</v>
      </c>
      <c r="CL120" s="381" t="s">
        <v>54</v>
      </c>
      <c r="CM120" s="500"/>
      <c r="CN120" s="500"/>
      <c r="CO120" s="494"/>
      <c r="CP120" s="494"/>
      <c r="CQ120" s="494"/>
      <c r="CR120" s="494"/>
      <c r="CS120" s="494"/>
      <c r="CT120" s="494"/>
      <c r="CU120" s="494"/>
      <c r="CV120" s="501"/>
      <c r="CW120" s="494"/>
      <c r="CX120" s="494"/>
      <c r="CY120" s="494"/>
      <c r="CZ120" s="494"/>
      <c r="DA120" s="494"/>
      <c r="DB120" s="494"/>
      <c r="DC120" s="494"/>
      <c r="DD120" s="498"/>
      <c r="DE120" s="494"/>
      <c r="DF120" s="494"/>
      <c r="DG120" s="498"/>
      <c r="DH120" s="498"/>
      <c r="DI120" s="498"/>
      <c r="DJ120" s="498"/>
      <c r="DK120" s="498"/>
      <c r="DL120" s="498"/>
      <c r="DM120" s="382" t="s">
        <v>54</v>
      </c>
      <c r="DN120" s="537"/>
      <c r="DO120" s="381" t="s">
        <v>54</v>
      </c>
      <c r="DP120" s="385" t="s">
        <v>54</v>
      </c>
      <c r="DQ120" s="385" t="s">
        <v>54</v>
      </c>
      <c r="DR120" s="381" t="s">
        <v>54</v>
      </c>
      <c r="DS120" s="381" t="s">
        <v>54</v>
      </c>
      <c r="DT120" s="381" t="s">
        <v>54</v>
      </c>
      <c r="DU120" s="381" t="s">
        <v>54</v>
      </c>
      <c r="DV120" s="381" t="s">
        <v>54</v>
      </c>
      <c r="DW120" s="381" t="s">
        <v>54</v>
      </c>
      <c r="DX120" s="537"/>
      <c r="DY120" s="405" t="s">
        <v>54</v>
      </c>
      <c r="DZ120" s="537"/>
      <c r="EA120" s="405" t="s">
        <v>54</v>
      </c>
      <c r="EB120" s="405" t="s">
        <v>54</v>
      </c>
      <c r="EC120" s="405" t="s">
        <v>54</v>
      </c>
      <c r="ED120" s="381" t="s">
        <v>54</v>
      </c>
      <c r="EE120" s="381" t="s">
        <v>54</v>
      </c>
      <c r="EF120" s="381" t="s">
        <v>54</v>
      </c>
      <c r="EG120" s="381" t="s">
        <v>54</v>
      </c>
      <c r="EH120" s="381" t="s">
        <v>54</v>
      </c>
      <c r="EI120" s="381" t="s">
        <v>54</v>
      </c>
      <c r="EJ120" s="381" t="s">
        <v>54</v>
      </c>
      <c r="EK120" s="381" t="s">
        <v>54</v>
      </c>
      <c r="EL120" s="381" t="s">
        <v>54</v>
      </c>
      <c r="EM120" s="381" t="s">
        <v>54</v>
      </c>
      <c r="EN120" s="381" t="s">
        <v>54</v>
      </c>
      <c r="EO120" s="381" t="s">
        <v>54</v>
      </c>
      <c r="EP120" s="381" t="s">
        <v>54</v>
      </c>
      <c r="EQ120" s="381" t="s">
        <v>54</v>
      </c>
      <c r="ER120" s="381" t="s">
        <v>54</v>
      </c>
      <c r="ES120" s="381" t="s">
        <v>54</v>
      </c>
      <c r="ET120" s="381" t="s">
        <v>54</v>
      </c>
      <c r="EU120" s="381" t="s">
        <v>54</v>
      </c>
    </row>
    <row r="121" spans="1:151" s="1" customFormat="1" ht="19.899999999999999" customHeight="1">
      <c r="A121" s="491">
        <v>15</v>
      </c>
      <c r="B121" s="491">
        <v>15</v>
      </c>
      <c r="C121" s="486" t="s">
        <v>2918</v>
      </c>
      <c r="D121" s="502" t="s">
        <v>3006</v>
      </c>
      <c r="E121" s="495" t="s">
        <v>2924</v>
      </c>
      <c r="F121" s="491" t="s">
        <v>3062</v>
      </c>
      <c r="G121" s="512" t="s">
        <v>3046</v>
      </c>
      <c r="H121" s="491" t="s">
        <v>3004</v>
      </c>
      <c r="I121" s="491" t="s">
        <v>3063</v>
      </c>
      <c r="J121" s="491" t="s">
        <v>52</v>
      </c>
      <c r="K121" s="516" t="s">
        <v>3130</v>
      </c>
      <c r="L121" s="495" t="s">
        <v>3133</v>
      </c>
      <c r="M121" s="491" t="s">
        <v>3030</v>
      </c>
      <c r="N121" s="486" t="s">
        <v>3133</v>
      </c>
      <c r="O121" s="512" t="s">
        <v>3047</v>
      </c>
      <c r="P121" s="517" t="s">
        <v>2902</v>
      </c>
      <c r="Q121" s="491">
        <v>2</v>
      </c>
      <c r="R121" s="381" t="s">
        <v>2968</v>
      </c>
      <c r="S121" s="381" t="s">
        <v>3096</v>
      </c>
      <c r="T121" s="381" t="s">
        <v>52</v>
      </c>
      <c r="U121" s="381" t="s">
        <v>52</v>
      </c>
      <c r="V121" s="381" t="s">
        <v>52</v>
      </c>
      <c r="W121" s="398">
        <v>407</v>
      </c>
      <c r="X121" s="489">
        <f t="shared" ref="X121" si="15">W121+W122</f>
        <v>499</v>
      </c>
      <c r="Y121" s="401">
        <v>66</v>
      </c>
      <c r="Z121" s="522">
        <v>66</v>
      </c>
      <c r="AA121" s="398">
        <v>407</v>
      </c>
      <c r="AB121" s="491">
        <f t="shared" ref="AB121" si="16">X121</f>
        <v>499</v>
      </c>
      <c r="AC121" s="381" t="s">
        <v>52</v>
      </c>
      <c r="AD121" s="491" t="s">
        <v>52</v>
      </c>
      <c r="AE121" s="401">
        <v>67.900000000000006</v>
      </c>
      <c r="AF121" s="381" t="s">
        <v>52</v>
      </c>
      <c r="AG121" s="381" t="s">
        <v>52</v>
      </c>
      <c r="AH121" s="381" t="s">
        <v>52</v>
      </c>
      <c r="AI121" s="381" t="s">
        <v>52</v>
      </c>
      <c r="AJ121" s="483" t="s">
        <v>54</v>
      </c>
      <c r="AK121" s="483" t="s">
        <v>54</v>
      </c>
      <c r="AL121" s="483" t="s">
        <v>54</v>
      </c>
      <c r="AM121" s="483" t="s">
        <v>54</v>
      </c>
      <c r="AN121" s="483" t="s">
        <v>54</v>
      </c>
      <c r="AO121" s="483" t="s">
        <v>54</v>
      </c>
      <c r="AP121" s="381" t="s">
        <v>54</v>
      </c>
      <c r="AQ121" s="486" t="s">
        <v>54</v>
      </c>
      <c r="AR121" s="381" t="s">
        <v>54</v>
      </c>
      <c r="AS121" s="385" t="s">
        <v>54</v>
      </c>
      <c r="AT121" s="385" t="s">
        <v>54</v>
      </c>
      <c r="AU121" s="381" t="s">
        <v>54</v>
      </c>
      <c r="AV121" s="381" t="s">
        <v>54</v>
      </c>
      <c r="AW121" s="381" t="s">
        <v>54</v>
      </c>
      <c r="AX121" s="381" t="s">
        <v>54</v>
      </c>
      <c r="AY121" s="386" t="s">
        <v>54</v>
      </c>
      <c r="AZ121" s="397" t="s">
        <v>54</v>
      </c>
      <c r="BA121" s="489" t="s">
        <v>54</v>
      </c>
      <c r="BB121" s="397" t="s">
        <v>54</v>
      </c>
      <c r="BC121" s="489" t="s">
        <v>54</v>
      </c>
      <c r="BD121" s="397" t="s">
        <v>54</v>
      </c>
      <c r="BE121" s="397" t="s">
        <v>54</v>
      </c>
      <c r="BF121" s="397" t="s">
        <v>54</v>
      </c>
      <c r="BG121" s="381" t="s">
        <v>54</v>
      </c>
      <c r="BH121" s="381" t="s">
        <v>54</v>
      </c>
      <c r="BI121" s="381" t="s">
        <v>54</v>
      </c>
      <c r="BJ121" s="381" t="s">
        <v>54</v>
      </c>
      <c r="BK121" s="381" t="s">
        <v>54</v>
      </c>
      <c r="BL121" s="381" t="s">
        <v>54</v>
      </c>
      <c r="BM121" s="381" t="s">
        <v>54</v>
      </c>
      <c r="BN121" s="381" t="s">
        <v>54</v>
      </c>
      <c r="BO121" s="381" t="s">
        <v>54</v>
      </c>
      <c r="BP121" s="381" t="s">
        <v>54</v>
      </c>
      <c r="BQ121" s="381" t="s">
        <v>54</v>
      </c>
      <c r="BR121" s="381" t="s">
        <v>54</v>
      </c>
      <c r="BS121" s="381" t="s">
        <v>54</v>
      </c>
      <c r="BT121" s="381" t="s">
        <v>54</v>
      </c>
      <c r="BU121" s="383" t="s">
        <v>54</v>
      </c>
      <c r="BV121" s="381" t="s">
        <v>54</v>
      </c>
      <c r="BW121" s="381" t="s">
        <v>54</v>
      </c>
      <c r="BX121" s="381" t="s">
        <v>54</v>
      </c>
      <c r="BY121" s="381" t="s">
        <v>54</v>
      </c>
      <c r="BZ121" s="381" t="s">
        <v>54</v>
      </c>
      <c r="CA121" s="381" t="s">
        <v>54</v>
      </c>
      <c r="CB121" s="381" t="s">
        <v>54</v>
      </c>
      <c r="CC121" s="381" t="s">
        <v>54</v>
      </c>
      <c r="CD121" s="381" t="s">
        <v>54</v>
      </c>
      <c r="CE121" s="383" t="s">
        <v>54</v>
      </c>
      <c r="CF121" s="381" t="s">
        <v>54</v>
      </c>
      <c r="CG121" s="381" t="s">
        <v>54</v>
      </c>
      <c r="CH121" s="381" t="s">
        <v>54</v>
      </c>
      <c r="CI121" s="383" t="s">
        <v>54</v>
      </c>
      <c r="CJ121" s="381" t="s">
        <v>54</v>
      </c>
      <c r="CK121" s="381" t="s">
        <v>54</v>
      </c>
      <c r="CL121" s="381" t="s">
        <v>54</v>
      </c>
      <c r="CM121" s="483" t="s">
        <v>54</v>
      </c>
      <c r="CN121" s="483" t="s">
        <v>54</v>
      </c>
      <c r="CO121" s="491" t="s">
        <v>54</v>
      </c>
      <c r="CP121" s="491" t="s">
        <v>54</v>
      </c>
      <c r="CQ121" s="491" t="s">
        <v>54</v>
      </c>
      <c r="CR121" s="491" t="s">
        <v>54</v>
      </c>
      <c r="CS121" s="491" t="s">
        <v>54</v>
      </c>
      <c r="CT121" s="491" t="s">
        <v>2026</v>
      </c>
      <c r="CU121" s="491">
        <v>2015</v>
      </c>
      <c r="CV121" s="501" t="s">
        <v>2864</v>
      </c>
      <c r="CW121" s="491" t="s">
        <v>1975</v>
      </c>
      <c r="CX121" s="491" t="s">
        <v>54</v>
      </c>
      <c r="CY121" s="491" t="s">
        <v>54</v>
      </c>
      <c r="CZ121" s="491" t="s">
        <v>54</v>
      </c>
      <c r="DA121" s="491" t="s">
        <v>54</v>
      </c>
      <c r="DB121" s="491" t="s">
        <v>54</v>
      </c>
      <c r="DC121" s="491" t="s">
        <v>3009</v>
      </c>
      <c r="DD121" s="495" t="s">
        <v>3101</v>
      </c>
      <c r="DE121" s="491" t="s">
        <v>3011</v>
      </c>
      <c r="DF121" s="491" t="s">
        <v>52</v>
      </c>
      <c r="DG121" s="495" t="s">
        <v>54</v>
      </c>
      <c r="DH121" s="495" t="s">
        <v>54</v>
      </c>
      <c r="DI121" s="495" t="s">
        <v>54</v>
      </c>
      <c r="DJ121" s="495" t="s">
        <v>54</v>
      </c>
      <c r="DK121" s="495" t="s">
        <v>54</v>
      </c>
      <c r="DL121" s="495" t="s">
        <v>54</v>
      </c>
      <c r="DM121" s="382" t="s">
        <v>54</v>
      </c>
      <c r="DN121" s="536" t="s">
        <v>54</v>
      </c>
      <c r="DO121" s="381" t="s">
        <v>54</v>
      </c>
      <c r="DP121" s="385" t="s">
        <v>54</v>
      </c>
      <c r="DQ121" s="385" t="s">
        <v>54</v>
      </c>
      <c r="DR121" s="381" t="s">
        <v>54</v>
      </c>
      <c r="DS121" s="381" t="s">
        <v>54</v>
      </c>
      <c r="DT121" s="381" t="s">
        <v>54</v>
      </c>
      <c r="DU121" s="381" t="s">
        <v>54</v>
      </c>
      <c r="DV121" s="381" t="s">
        <v>54</v>
      </c>
      <c r="DW121" s="381" t="s">
        <v>54</v>
      </c>
      <c r="DX121" s="536" t="s">
        <v>54</v>
      </c>
      <c r="DY121" s="405" t="s">
        <v>54</v>
      </c>
      <c r="DZ121" s="536" t="s">
        <v>54</v>
      </c>
      <c r="EA121" s="405" t="s">
        <v>54</v>
      </c>
      <c r="EB121" s="405" t="s">
        <v>54</v>
      </c>
      <c r="EC121" s="405" t="s">
        <v>54</v>
      </c>
      <c r="ED121" s="381" t="s">
        <v>54</v>
      </c>
      <c r="EE121" s="381" t="s">
        <v>54</v>
      </c>
      <c r="EF121" s="381" t="s">
        <v>54</v>
      </c>
      <c r="EG121" s="381" t="s">
        <v>54</v>
      </c>
      <c r="EH121" s="381" t="s">
        <v>54</v>
      </c>
      <c r="EI121" s="381" t="s">
        <v>54</v>
      </c>
      <c r="EJ121" s="381" t="s">
        <v>54</v>
      </c>
      <c r="EK121" s="381" t="s">
        <v>54</v>
      </c>
      <c r="EL121" s="381" t="s">
        <v>54</v>
      </c>
      <c r="EM121" s="381" t="s">
        <v>54</v>
      </c>
      <c r="EN121" s="381" t="s">
        <v>54</v>
      </c>
      <c r="EO121" s="381" t="s">
        <v>54</v>
      </c>
      <c r="EP121" s="381" t="s">
        <v>54</v>
      </c>
      <c r="EQ121" s="381" t="s">
        <v>54</v>
      </c>
      <c r="ER121" s="381" t="s">
        <v>54</v>
      </c>
      <c r="ES121" s="381" t="s">
        <v>54</v>
      </c>
      <c r="ET121" s="381" t="s">
        <v>54</v>
      </c>
      <c r="EU121" s="381" t="s">
        <v>54</v>
      </c>
    </row>
    <row r="122" spans="1:151" s="1" customFormat="1" ht="19.899999999999999" customHeight="1">
      <c r="A122" s="492"/>
      <c r="B122" s="492"/>
      <c r="C122" s="487"/>
      <c r="D122" s="503"/>
      <c r="E122" s="506"/>
      <c r="F122" s="509"/>
      <c r="G122" s="513"/>
      <c r="H122" s="509"/>
      <c r="I122" s="509"/>
      <c r="J122" s="509"/>
      <c r="K122" s="492"/>
      <c r="L122" s="496"/>
      <c r="M122" s="492"/>
      <c r="N122" s="487"/>
      <c r="O122" s="513"/>
      <c r="P122" s="518"/>
      <c r="Q122" s="492"/>
      <c r="R122" s="381" t="s">
        <v>2728</v>
      </c>
      <c r="S122" s="381" t="s">
        <v>3096</v>
      </c>
      <c r="T122" s="381" t="s">
        <v>52</v>
      </c>
      <c r="U122" s="381" t="s">
        <v>52</v>
      </c>
      <c r="V122" s="381" t="s">
        <v>52</v>
      </c>
      <c r="W122" s="398">
        <v>92</v>
      </c>
      <c r="X122" s="490"/>
      <c r="Y122" s="401">
        <v>66</v>
      </c>
      <c r="Z122" s="523"/>
      <c r="AA122" s="398">
        <v>92</v>
      </c>
      <c r="AB122" s="492"/>
      <c r="AC122" s="381" t="s">
        <v>52</v>
      </c>
      <c r="AD122" s="492"/>
      <c r="AE122" s="401">
        <v>65.900000000000006</v>
      </c>
      <c r="AF122" s="381" t="s">
        <v>52</v>
      </c>
      <c r="AG122" s="381" t="s">
        <v>52</v>
      </c>
      <c r="AH122" s="381" t="s">
        <v>52</v>
      </c>
      <c r="AI122" s="381" t="s">
        <v>52</v>
      </c>
      <c r="AJ122" s="484"/>
      <c r="AK122" s="484"/>
      <c r="AL122" s="484"/>
      <c r="AM122" s="484"/>
      <c r="AN122" s="484"/>
      <c r="AO122" s="484"/>
      <c r="AP122" s="381" t="s">
        <v>54</v>
      </c>
      <c r="AQ122" s="487"/>
      <c r="AR122" s="381" t="s">
        <v>54</v>
      </c>
      <c r="AS122" s="385" t="s">
        <v>54</v>
      </c>
      <c r="AT122" s="385" t="s">
        <v>54</v>
      </c>
      <c r="AU122" s="381" t="s">
        <v>54</v>
      </c>
      <c r="AV122" s="381" t="s">
        <v>54</v>
      </c>
      <c r="AW122" s="381" t="s">
        <v>54</v>
      </c>
      <c r="AX122" s="381" t="s">
        <v>54</v>
      </c>
      <c r="AY122" s="386" t="s">
        <v>54</v>
      </c>
      <c r="AZ122" s="397" t="s">
        <v>54</v>
      </c>
      <c r="BA122" s="490"/>
      <c r="BB122" s="397" t="s">
        <v>54</v>
      </c>
      <c r="BC122" s="490"/>
      <c r="BD122" s="397" t="s">
        <v>54</v>
      </c>
      <c r="BE122" s="397" t="s">
        <v>54</v>
      </c>
      <c r="BF122" s="397" t="s">
        <v>54</v>
      </c>
      <c r="BG122" s="381" t="s">
        <v>54</v>
      </c>
      <c r="BH122" s="381" t="s">
        <v>54</v>
      </c>
      <c r="BI122" s="381" t="s">
        <v>54</v>
      </c>
      <c r="BJ122" s="381" t="s">
        <v>54</v>
      </c>
      <c r="BK122" s="381" t="s">
        <v>54</v>
      </c>
      <c r="BL122" s="381" t="s">
        <v>54</v>
      </c>
      <c r="BM122" s="381" t="s">
        <v>54</v>
      </c>
      <c r="BN122" s="381" t="s">
        <v>54</v>
      </c>
      <c r="BO122" s="381" t="s">
        <v>54</v>
      </c>
      <c r="BP122" s="381" t="s">
        <v>54</v>
      </c>
      <c r="BQ122" s="381" t="s">
        <v>54</v>
      </c>
      <c r="BR122" s="381" t="s">
        <v>54</v>
      </c>
      <c r="BS122" s="381" t="s">
        <v>54</v>
      </c>
      <c r="BT122" s="381" t="s">
        <v>54</v>
      </c>
      <c r="BU122" s="383" t="s">
        <v>54</v>
      </c>
      <c r="BV122" s="381" t="s">
        <v>54</v>
      </c>
      <c r="BW122" s="381" t="s">
        <v>54</v>
      </c>
      <c r="BX122" s="381" t="s">
        <v>54</v>
      </c>
      <c r="BY122" s="381" t="s">
        <v>54</v>
      </c>
      <c r="BZ122" s="381" t="s">
        <v>54</v>
      </c>
      <c r="CA122" s="381" t="s">
        <v>54</v>
      </c>
      <c r="CB122" s="381" t="s">
        <v>54</v>
      </c>
      <c r="CC122" s="381" t="s">
        <v>54</v>
      </c>
      <c r="CD122" s="381" t="s">
        <v>54</v>
      </c>
      <c r="CE122" s="383" t="s">
        <v>54</v>
      </c>
      <c r="CF122" s="381" t="s">
        <v>54</v>
      </c>
      <c r="CG122" s="381" t="s">
        <v>54</v>
      </c>
      <c r="CH122" s="381" t="s">
        <v>54</v>
      </c>
      <c r="CI122" s="383" t="s">
        <v>54</v>
      </c>
      <c r="CJ122" s="381" t="s">
        <v>54</v>
      </c>
      <c r="CK122" s="381" t="s">
        <v>54</v>
      </c>
      <c r="CL122" s="381" t="s">
        <v>54</v>
      </c>
      <c r="CM122" s="499"/>
      <c r="CN122" s="499"/>
      <c r="CO122" s="492"/>
      <c r="CP122" s="492"/>
      <c r="CQ122" s="492"/>
      <c r="CR122" s="492"/>
      <c r="CS122" s="492"/>
      <c r="CT122" s="492"/>
      <c r="CU122" s="492"/>
      <c r="CV122" s="501"/>
      <c r="CW122" s="492"/>
      <c r="CX122" s="492"/>
      <c r="CY122" s="492"/>
      <c r="CZ122" s="492"/>
      <c r="DA122" s="492"/>
      <c r="DB122" s="492"/>
      <c r="DC122" s="492"/>
      <c r="DD122" s="496"/>
      <c r="DE122" s="492"/>
      <c r="DF122" s="492"/>
      <c r="DG122" s="496"/>
      <c r="DH122" s="496"/>
      <c r="DI122" s="496"/>
      <c r="DJ122" s="496"/>
      <c r="DK122" s="496"/>
      <c r="DL122" s="496"/>
      <c r="DM122" s="382" t="s">
        <v>54</v>
      </c>
      <c r="DN122" s="537"/>
      <c r="DO122" s="381" t="s">
        <v>54</v>
      </c>
      <c r="DP122" s="385" t="s">
        <v>54</v>
      </c>
      <c r="DQ122" s="385" t="s">
        <v>54</v>
      </c>
      <c r="DR122" s="381" t="s">
        <v>54</v>
      </c>
      <c r="DS122" s="381" t="s">
        <v>54</v>
      </c>
      <c r="DT122" s="381" t="s">
        <v>54</v>
      </c>
      <c r="DU122" s="381" t="s">
        <v>54</v>
      </c>
      <c r="DV122" s="381" t="s">
        <v>54</v>
      </c>
      <c r="DW122" s="381" t="s">
        <v>54</v>
      </c>
      <c r="DX122" s="537"/>
      <c r="DY122" s="405" t="s">
        <v>54</v>
      </c>
      <c r="DZ122" s="537"/>
      <c r="EA122" s="405" t="s">
        <v>54</v>
      </c>
      <c r="EB122" s="405" t="s">
        <v>54</v>
      </c>
      <c r="EC122" s="405" t="s">
        <v>54</v>
      </c>
      <c r="ED122" s="381" t="s">
        <v>54</v>
      </c>
      <c r="EE122" s="381" t="s">
        <v>54</v>
      </c>
      <c r="EF122" s="381" t="s">
        <v>54</v>
      </c>
      <c r="EG122" s="381" t="s">
        <v>54</v>
      </c>
      <c r="EH122" s="381" t="s">
        <v>54</v>
      </c>
      <c r="EI122" s="381" t="s">
        <v>54</v>
      </c>
      <c r="EJ122" s="381" t="s">
        <v>54</v>
      </c>
      <c r="EK122" s="381" t="s">
        <v>54</v>
      </c>
      <c r="EL122" s="381" t="s">
        <v>54</v>
      </c>
      <c r="EM122" s="381" t="s">
        <v>54</v>
      </c>
      <c r="EN122" s="381" t="s">
        <v>54</v>
      </c>
      <c r="EO122" s="381" t="s">
        <v>54</v>
      </c>
      <c r="EP122" s="381" t="s">
        <v>54</v>
      </c>
      <c r="EQ122" s="381" t="s">
        <v>54</v>
      </c>
      <c r="ER122" s="381" t="s">
        <v>54</v>
      </c>
      <c r="ES122" s="381" t="s">
        <v>54</v>
      </c>
      <c r="ET122" s="381" t="s">
        <v>54</v>
      </c>
      <c r="EU122" s="381" t="s">
        <v>54</v>
      </c>
    </row>
    <row r="123" spans="1:151" s="1" customFormat="1" ht="19.899999999999999" customHeight="1">
      <c r="A123" s="493"/>
      <c r="B123" s="493"/>
      <c r="C123" s="487"/>
      <c r="D123" s="504"/>
      <c r="E123" s="507"/>
      <c r="F123" s="510"/>
      <c r="G123" s="514"/>
      <c r="H123" s="510"/>
      <c r="I123" s="510"/>
      <c r="J123" s="510"/>
      <c r="K123" s="493"/>
      <c r="L123" s="497"/>
      <c r="M123" s="493"/>
      <c r="N123" s="487"/>
      <c r="O123" s="514"/>
      <c r="P123" s="518"/>
      <c r="Q123" s="493"/>
      <c r="R123" s="381" t="s">
        <v>54</v>
      </c>
      <c r="S123" s="381" t="s">
        <v>54</v>
      </c>
      <c r="T123" s="381" t="s">
        <v>54</v>
      </c>
      <c r="U123" s="381" t="s">
        <v>54</v>
      </c>
      <c r="V123" s="381" t="s">
        <v>54</v>
      </c>
      <c r="W123" s="381" t="s">
        <v>54</v>
      </c>
      <c r="X123" s="490"/>
      <c r="Y123" s="2" t="s">
        <v>54</v>
      </c>
      <c r="Z123" s="523"/>
      <c r="AA123" s="381" t="s">
        <v>54</v>
      </c>
      <c r="AB123" s="493"/>
      <c r="AC123" s="381" t="s">
        <v>54</v>
      </c>
      <c r="AD123" s="493"/>
      <c r="AE123" s="2" t="s">
        <v>54</v>
      </c>
      <c r="AF123" s="381" t="s">
        <v>54</v>
      </c>
      <c r="AG123" s="381" t="s">
        <v>54</v>
      </c>
      <c r="AH123" s="381" t="s">
        <v>54</v>
      </c>
      <c r="AI123" s="381" t="s">
        <v>54</v>
      </c>
      <c r="AJ123" s="484"/>
      <c r="AK123" s="484"/>
      <c r="AL123" s="484"/>
      <c r="AM123" s="484"/>
      <c r="AN123" s="484"/>
      <c r="AO123" s="484"/>
      <c r="AP123" s="381" t="s">
        <v>54</v>
      </c>
      <c r="AQ123" s="487"/>
      <c r="AR123" s="381" t="s">
        <v>54</v>
      </c>
      <c r="AS123" s="385" t="s">
        <v>54</v>
      </c>
      <c r="AT123" s="385" t="s">
        <v>54</v>
      </c>
      <c r="AU123" s="381" t="s">
        <v>54</v>
      </c>
      <c r="AV123" s="381" t="s">
        <v>54</v>
      </c>
      <c r="AW123" s="381" t="s">
        <v>54</v>
      </c>
      <c r="AX123" s="381" t="s">
        <v>54</v>
      </c>
      <c r="AY123" s="386" t="s">
        <v>54</v>
      </c>
      <c r="AZ123" s="397" t="s">
        <v>54</v>
      </c>
      <c r="BA123" s="490"/>
      <c r="BB123" s="397" t="s">
        <v>54</v>
      </c>
      <c r="BC123" s="490"/>
      <c r="BD123" s="397" t="s">
        <v>54</v>
      </c>
      <c r="BE123" s="397" t="s">
        <v>54</v>
      </c>
      <c r="BF123" s="397" t="s">
        <v>54</v>
      </c>
      <c r="BG123" s="381" t="s">
        <v>54</v>
      </c>
      <c r="BH123" s="381" t="s">
        <v>54</v>
      </c>
      <c r="BI123" s="381" t="s">
        <v>54</v>
      </c>
      <c r="BJ123" s="381" t="s">
        <v>54</v>
      </c>
      <c r="BK123" s="381" t="s">
        <v>54</v>
      </c>
      <c r="BL123" s="381" t="s">
        <v>54</v>
      </c>
      <c r="BM123" s="381" t="s">
        <v>54</v>
      </c>
      <c r="BN123" s="381" t="s">
        <v>54</v>
      </c>
      <c r="BO123" s="381" t="s">
        <v>54</v>
      </c>
      <c r="BP123" s="381" t="s">
        <v>54</v>
      </c>
      <c r="BQ123" s="381" t="s">
        <v>54</v>
      </c>
      <c r="BR123" s="381" t="s">
        <v>54</v>
      </c>
      <c r="BS123" s="381" t="s">
        <v>54</v>
      </c>
      <c r="BT123" s="381" t="s">
        <v>54</v>
      </c>
      <c r="BU123" s="383" t="s">
        <v>54</v>
      </c>
      <c r="BV123" s="381" t="s">
        <v>54</v>
      </c>
      <c r="BW123" s="381" t="s">
        <v>54</v>
      </c>
      <c r="BX123" s="381" t="s">
        <v>54</v>
      </c>
      <c r="BY123" s="381" t="s">
        <v>54</v>
      </c>
      <c r="BZ123" s="381" t="s">
        <v>54</v>
      </c>
      <c r="CA123" s="381" t="s">
        <v>54</v>
      </c>
      <c r="CB123" s="381" t="s">
        <v>54</v>
      </c>
      <c r="CC123" s="381" t="s">
        <v>54</v>
      </c>
      <c r="CD123" s="381" t="s">
        <v>54</v>
      </c>
      <c r="CE123" s="383" t="s">
        <v>54</v>
      </c>
      <c r="CF123" s="381" t="s">
        <v>54</v>
      </c>
      <c r="CG123" s="381" t="s">
        <v>54</v>
      </c>
      <c r="CH123" s="381" t="s">
        <v>54</v>
      </c>
      <c r="CI123" s="383" t="s">
        <v>54</v>
      </c>
      <c r="CJ123" s="381" t="s">
        <v>54</v>
      </c>
      <c r="CK123" s="381" t="s">
        <v>54</v>
      </c>
      <c r="CL123" s="381" t="s">
        <v>54</v>
      </c>
      <c r="CM123" s="499"/>
      <c r="CN123" s="499"/>
      <c r="CO123" s="493"/>
      <c r="CP123" s="493"/>
      <c r="CQ123" s="493"/>
      <c r="CR123" s="493"/>
      <c r="CS123" s="493"/>
      <c r="CT123" s="493"/>
      <c r="CU123" s="493"/>
      <c r="CV123" s="501"/>
      <c r="CW123" s="493"/>
      <c r="CX123" s="493"/>
      <c r="CY123" s="493"/>
      <c r="CZ123" s="493"/>
      <c r="DA123" s="493"/>
      <c r="DB123" s="493"/>
      <c r="DC123" s="493"/>
      <c r="DD123" s="497"/>
      <c r="DE123" s="493"/>
      <c r="DF123" s="493"/>
      <c r="DG123" s="497"/>
      <c r="DH123" s="497"/>
      <c r="DI123" s="497"/>
      <c r="DJ123" s="497"/>
      <c r="DK123" s="497"/>
      <c r="DL123" s="497"/>
      <c r="DM123" s="382" t="s">
        <v>54</v>
      </c>
      <c r="DN123" s="537"/>
      <c r="DO123" s="381" t="s">
        <v>54</v>
      </c>
      <c r="DP123" s="385" t="s">
        <v>54</v>
      </c>
      <c r="DQ123" s="385" t="s">
        <v>54</v>
      </c>
      <c r="DR123" s="381" t="s">
        <v>54</v>
      </c>
      <c r="DS123" s="381" t="s">
        <v>54</v>
      </c>
      <c r="DT123" s="381" t="s">
        <v>54</v>
      </c>
      <c r="DU123" s="381" t="s">
        <v>54</v>
      </c>
      <c r="DV123" s="381" t="s">
        <v>54</v>
      </c>
      <c r="DW123" s="381" t="s">
        <v>54</v>
      </c>
      <c r="DX123" s="537"/>
      <c r="DY123" s="405" t="s">
        <v>54</v>
      </c>
      <c r="DZ123" s="537"/>
      <c r="EA123" s="405" t="s">
        <v>54</v>
      </c>
      <c r="EB123" s="405" t="s">
        <v>54</v>
      </c>
      <c r="EC123" s="405" t="s">
        <v>54</v>
      </c>
      <c r="ED123" s="381" t="s">
        <v>54</v>
      </c>
      <c r="EE123" s="381" t="s">
        <v>54</v>
      </c>
      <c r="EF123" s="381" t="s">
        <v>54</v>
      </c>
      <c r="EG123" s="381" t="s">
        <v>54</v>
      </c>
      <c r="EH123" s="381" t="s">
        <v>54</v>
      </c>
      <c r="EI123" s="381" t="s">
        <v>54</v>
      </c>
      <c r="EJ123" s="381" t="s">
        <v>54</v>
      </c>
      <c r="EK123" s="381" t="s">
        <v>54</v>
      </c>
      <c r="EL123" s="381" t="s">
        <v>54</v>
      </c>
      <c r="EM123" s="381" t="s">
        <v>54</v>
      </c>
      <c r="EN123" s="381" t="s">
        <v>54</v>
      </c>
      <c r="EO123" s="381" t="s">
        <v>54</v>
      </c>
      <c r="EP123" s="381" t="s">
        <v>54</v>
      </c>
      <c r="EQ123" s="381" t="s">
        <v>54</v>
      </c>
      <c r="ER123" s="381" t="s">
        <v>54</v>
      </c>
      <c r="ES123" s="381" t="s">
        <v>54</v>
      </c>
      <c r="ET123" s="381" t="s">
        <v>54</v>
      </c>
      <c r="EU123" s="381" t="s">
        <v>54</v>
      </c>
    </row>
    <row r="124" spans="1:151" s="1" customFormat="1" ht="19.899999999999999" customHeight="1">
      <c r="A124" s="494"/>
      <c r="B124" s="494"/>
      <c r="C124" s="488"/>
      <c r="D124" s="505"/>
      <c r="E124" s="508"/>
      <c r="F124" s="511"/>
      <c r="G124" s="515"/>
      <c r="H124" s="511"/>
      <c r="I124" s="511"/>
      <c r="J124" s="511"/>
      <c r="K124" s="494"/>
      <c r="L124" s="498"/>
      <c r="M124" s="494"/>
      <c r="N124" s="488"/>
      <c r="O124" s="515"/>
      <c r="P124" s="519"/>
      <c r="Q124" s="494"/>
      <c r="R124" s="381" t="s">
        <v>54</v>
      </c>
      <c r="S124" s="381" t="s">
        <v>54</v>
      </c>
      <c r="T124" s="381" t="s">
        <v>54</v>
      </c>
      <c r="U124" s="381" t="s">
        <v>54</v>
      </c>
      <c r="V124" s="381" t="s">
        <v>54</v>
      </c>
      <c r="W124" s="381" t="s">
        <v>54</v>
      </c>
      <c r="X124" s="490"/>
      <c r="Y124" s="2" t="s">
        <v>54</v>
      </c>
      <c r="Z124" s="523"/>
      <c r="AA124" s="381" t="s">
        <v>54</v>
      </c>
      <c r="AB124" s="494"/>
      <c r="AC124" s="381" t="s">
        <v>54</v>
      </c>
      <c r="AD124" s="494"/>
      <c r="AE124" s="2" t="s">
        <v>54</v>
      </c>
      <c r="AF124" s="381" t="s">
        <v>54</v>
      </c>
      <c r="AG124" s="381" t="s">
        <v>54</v>
      </c>
      <c r="AH124" s="381" t="s">
        <v>54</v>
      </c>
      <c r="AI124" s="381" t="s">
        <v>54</v>
      </c>
      <c r="AJ124" s="485"/>
      <c r="AK124" s="485"/>
      <c r="AL124" s="485"/>
      <c r="AM124" s="485"/>
      <c r="AN124" s="485"/>
      <c r="AO124" s="485"/>
      <c r="AP124" s="381" t="s">
        <v>54</v>
      </c>
      <c r="AQ124" s="488"/>
      <c r="AR124" s="381" t="s">
        <v>54</v>
      </c>
      <c r="AS124" s="385" t="s">
        <v>54</v>
      </c>
      <c r="AT124" s="385" t="s">
        <v>54</v>
      </c>
      <c r="AU124" s="381" t="s">
        <v>54</v>
      </c>
      <c r="AV124" s="381" t="s">
        <v>54</v>
      </c>
      <c r="AW124" s="381" t="s">
        <v>54</v>
      </c>
      <c r="AX124" s="381" t="s">
        <v>54</v>
      </c>
      <c r="AY124" s="386" t="s">
        <v>54</v>
      </c>
      <c r="AZ124" s="397" t="s">
        <v>54</v>
      </c>
      <c r="BA124" s="490"/>
      <c r="BB124" s="397" t="s">
        <v>54</v>
      </c>
      <c r="BC124" s="490"/>
      <c r="BD124" s="397" t="s">
        <v>54</v>
      </c>
      <c r="BE124" s="397" t="s">
        <v>54</v>
      </c>
      <c r="BF124" s="397" t="s">
        <v>54</v>
      </c>
      <c r="BG124" s="381" t="s">
        <v>54</v>
      </c>
      <c r="BH124" s="381" t="s">
        <v>54</v>
      </c>
      <c r="BI124" s="381" t="s">
        <v>54</v>
      </c>
      <c r="BJ124" s="381" t="s">
        <v>54</v>
      </c>
      <c r="BK124" s="381" t="s">
        <v>54</v>
      </c>
      <c r="BL124" s="381" t="s">
        <v>54</v>
      </c>
      <c r="BM124" s="381" t="s">
        <v>54</v>
      </c>
      <c r="BN124" s="381" t="s">
        <v>54</v>
      </c>
      <c r="BO124" s="381" t="s">
        <v>54</v>
      </c>
      <c r="BP124" s="381" t="s">
        <v>54</v>
      </c>
      <c r="BQ124" s="381" t="s">
        <v>54</v>
      </c>
      <c r="BR124" s="381" t="s">
        <v>54</v>
      </c>
      <c r="BS124" s="381" t="s">
        <v>54</v>
      </c>
      <c r="BT124" s="381" t="s">
        <v>54</v>
      </c>
      <c r="BU124" s="383" t="s">
        <v>54</v>
      </c>
      <c r="BV124" s="381" t="s">
        <v>54</v>
      </c>
      <c r="BW124" s="381" t="s">
        <v>54</v>
      </c>
      <c r="BX124" s="381" t="s">
        <v>54</v>
      </c>
      <c r="BY124" s="381" t="s">
        <v>54</v>
      </c>
      <c r="BZ124" s="381" t="s">
        <v>54</v>
      </c>
      <c r="CA124" s="381" t="s">
        <v>54</v>
      </c>
      <c r="CB124" s="381" t="s">
        <v>54</v>
      </c>
      <c r="CC124" s="381" t="s">
        <v>54</v>
      </c>
      <c r="CD124" s="381" t="s">
        <v>54</v>
      </c>
      <c r="CE124" s="383" t="s">
        <v>54</v>
      </c>
      <c r="CF124" s="381" t="s">
        <v>54</v>
      </c>
      <c r="CG124" s="381" t="s">
        <v>54</v>
      </c>
      <c r="CH124" s="381" t="s">
        <v>54</v>
      </c>
      <c r="CI124" s="383" t="s">
        <v>54</v>
      </c>
      <c r="CJ124" s="381" t="s">
        <v>54</v>
      </c>
      <c r="CK124" s="381" t="s">
        <v>54</v>
      </c>
      <c r="CL124" s="381" t="s">
        <v>54</v>
      </c>
      <c r="CM124" s="500"/>
      <c r="CN124" s="500"/>
      <c r="CO124" s="494"/>
      <c r="CP124" s="494"/>
      <c r="CQ124" s="494"/>
      <c r="CR124" s="494"/>
      <c r="CS124" s="494"/>
      <c r="CT124" s="494"/>
      <c r="CU124" s="494"/>
      <c r="CV124" s="501"/>
      <c r="CW124" s="494"/>
      <c r="CX124" s="494"/>
      <c r="CY124" s="494"/>
      <c r="CZ124" s="494"/>
      <c r="DA124" s="494"/>
      <c r="DB124" s="494"/>
      <c r="DC124" s="494"/>
      <c r="DD124" s="498"/>
      <c r="DE124" s="494"/>
      <c r="DF124" s="494"/>
      <c r="DG124" s="498"/>
      <c r="DH124" s="498"/>
      <c r="DI124" s="498"/>
      <c r="DJ124" s="498"/>
      <c r="DK124" s="498"/>
      <c r="DL124" s="498"/>
      <c r="DM124" s="382" t="s">
        <v>54</v>
      </c>
      <c r="DN124" s="537"/>
      <c r="DO124" s="381" t="s">
        <v>54</v>
      </c>
      <c r="DP124" s="385" t="s">
        <v>54</v>
      </c>
      <c r="DQ124" s="385" t="s">
        <v>54</v>
      </c>
      <c r="DR124" s="381" t="s">
        <v>54</v>
      </c>
      <c r="DS124" s="381" t="s">
        <v>54</v>
      </c>
      <c r="DT124" s="381" t="s">
        <v>54</v>
      </c>
      <c r="DU124" s="381" t="s">
        <v>54</v>
      </c>
      <c r="DV124" s="381" t="s">
        <v>54</v>
      </c>
      <c r="DW124" s="381" t="s">
        <v>54</v>
      </c>
      <c r="DX124" s="537"/>
      <c r="DY124" s="405" t="s">
        <v>54</v>
      </c>
      <c r="DZ124" s="537"/>
      <c r="EA124" s="405" t="s">
        <v>54</v>
      </c>
      <c r="EB124" s="405" t="s">
        <v>54</v>
      </c>
      <c r="EC124" s="405" t="s">
        <v>54</v>
      </c>
      <c r="ED124" s="381" t="s">
        <v>54</v>
      </c>
      <c r="EE124" s="381" t="s">
        <v>54</v>
      </c>
      <c r="EF124" s="381" t="s">
        <v>54</v>
      </c>
      <c r="EG124" s="381" t="s">
        <v>54</v>
      </c>
      <c r="EH124" s="381" t="s">
        <v>54</v>
      </c>
      <c r="EI124" s="381" t="s">
        <v>54</v>
      </c>
      <c r="EJ124" s="381" t="s">
        <v>54</v>
      </c>
      <c r="EK124" s="381" t="s">
        <v>54</v>
      </c>
      <c r="EL124" s="381" t="s">
        <v>54</v>
      </c>
      <c r="EM124" s="381" t="s">
        <v>54</v>
      </c>
      <c r="EN124" s="381" t="s">
        <v>54</v>
      </c>
      <c r="EO124" s="381" t="s">
        <v>54</v>
      </c>
      <c r="EP124" s="381" t="s">
        <v>54</v>
      </c>
      <c r="EQ124" s="381" t="s">
        <v>54</v>
      </c>
      <c r="ER124" s="381" t="s">
        <v>54</v>
      </c>
      <c r="ES124" s="381" t="s">
        <v>54</v>
      </c>
      <c r="ET124" s="381" t="s">
        <v>54</v>
      </c>
      <c r="EU124" s="381" t="s">
        <v>54</v>
      </c>
    </row>
    <row r="125" spans="1:151" s="1" customFormat="1" ht="19.899999999999999" customHeight="1">
      <c r="A125" s="491">
        <v>15</v>
      </c>
      <c r="B125" s="491">
        <v>15</v>
      </c>
      <c r="C125" s="486" t="s">
        <v>2918</v>
      </c>
      <c r="D125" s="502" t="s">
        <v>3007</v>
      </c>
      <c r="E125" s="495" t="s">
        <v>2924</v>
      </c>
      <c r="F125" s="491" t="s">
        <v>3062</v>
      </c>
      <c r="G125" s="512" t="s">
        <v>3046</v>
      </c>
      <c r="H125" s="491" t="s">
        <v>3004</v>
      </c>
      <c r="I125" s="491" t="s">
        <v>3063</v>
      </c>
      <c r="J125" s="491" t="s">
        <v>52</v>
      </c>
      <c r="K125" s="516" t="s">
        <v>3130</v>
      </c>
      <c r="L125" s="495" t="s">
        <v>3133</v>
      </c>
      <c r="M125" s="491" t="s">
        <v>3030</v>
      </c>
      <c r="N125" s="486" t="s">
        <v>3133</v>
      </c>
      <c r="O125" s="512" t="s">
        <v>3047</v>
      </c>
      <c r="P125" s="517" t="s">
        <v>2902</v>
      </c>
      <c r="Q125" s="491">
        <v>2</v>
      </c>
      <c r="R125" s="381" t="s">
        <v>2968</v>
      </c>
      <c r="S125" s="381" t="s">
        <v>3097</v>
      </c>
      <c r="T125" s="381" t="s">
        <v>52</v>
      </c>
      <c r="U125" s="381" t="s">
        <v>52</v>
      </c>
      <c r="V125" s="381" t="s">
        <v>52</v>
      </c>
      <c r="W125" s="398">
        <v>1568</v>
      </c>
      <c r="X125" s="489">
        <f>W125+W126</f>
        <v>1949</v>
      </c>
      <c r="Y125" s="401">
        <v>74</v>
      </c>
      <c r="Z125" s="522">
        <v>74</v>
      </c>
      <c r="AA125" s="398">
        <v>1568</v>
      </c>
      <c r="AB125" s="491">
        <f t="shared" ref="AB125" si="17">X125</f>
        <v>1949</v>
      </c>
      <c r="AC125" s="381" t="s">
        <v>52</v>
      </c>
      <c r="AD125" s="491" t="s">
        <v>52</v>
      </c>
      <c r="AE125" s="401">
        <v>73.099999999999994</v>
      </c>
      <c r="AF125" s="381" t="s">
        <v>52</v>
      </c>
      <c r="AG125" s="381" t="s">
        <v>52</v>
      </c>
      <c r="AH125" s="381" t="s">
        <v>52</v>
      </c>
      <c r="AI125" s="381" t="s">
        <v>52</v>
      </c>
      <c r="AJ125" s="483" t="s">
        <v>54</v>
      </c>
      <c r="AK125" s="483" t="s">
        <v>54</v>
      </c>
      <c r="AL125" s="483" t="s">
        <v>54</v>
      </c>
      <c r="AM125" s="483" t="s">
        <v>54</v>
      </c>
      <c r="AN125" s="483" t="s">
        <v>54</v>
      </c>
      <c r="AO125" s="483" t="s">
        <v>54</v>
      </c>
      <c r="AP125" s="381" t="s">
        <v>54</v>
      </c>
      <c r="AQ125" s="486" t="s">
        <v>54</v>
      </c>
      <c r="AR125" s="381" t="s">
        <v>54</v>
      </c>
      <c r="AS125" s="385" t="s">
        <v>54</v>
      </c>
      <c r="AT125" s="385" t="s">
        <v>54</v>
      </c>
      <c r="AU125" s="381" t="s">
        <v>54</v>
      </c>
      <c r="AV125" s="381" t="s">
        <v>54</v>
      </c>
      <c r="AW125" s="381" t="s">
        <v>54</v>
      </c>
      <c r="AX125" s="381" t="s">
        <v>54</v>
      </c>
      <c r="AY125" s="386" t="s">
        <v>54</v>
      </c>
      <c r="AZ125" s="397" t="s">
        <v>54</v>
      </c>
      <c r="BA125" s="489" t="s">
        <v>54</v>
      </c>
      <c r="BB125" s="397" t="s">
        <v>54</v>
      </c>
      <c r="BC125" s="489" t="s">
        <v>54</v>
      </c>
      <c r="BD125" s="397" t="s">
        <v>54</v>
      </c>
      <c r="BE125" s="397" t="s">
        <v>54</v>
      </c>
      <c r="BF125" s="397" t="s">
        <v>54</v>
      </c>
      <c r="BG125" s="381" t="s">
        <v>54</v>
      </c>
      <c r="BH125" s="381" t="s">
        <v>54</v>
      </c>
      <c r="BI125" s="381" t="s">
        <v>54</v>
      </c>
      <c r="BJ125" s="381" t="s">
        <v>54</v>
      </c>
      <c r="BK125" s="381" t="s">
        <v>54</v>
      </c>
      <c r="BL125" s="381" t="s">
        <v>54</v>
      </c>
      <c r="BM125" s="381" t="s">
        <v>54</v>
      </c>
      <c r="BN125" s="381" t="s">
        <v>54</v>
      </c>
      <c r="BO125" s="381" t="s">
        <v>54</v>
      </c>
      <c r="BP125" s="381" t="s">
        <v>54</v>
      </c>
      <c r="BQ125" s="381" t="s">
        <v>54</v>
      </c>
      <c r="BR125" s="381" t="s">
        <v>54</v>
      </c>
      <c r="BS125" s="381" t="s">
        <v>54</v>
      </c>
      <c r="BT125" s="381" t="s">
        <v>54</v>
      </c>
      <c r="BU125" s="383" t="s">
        <v>54</v>
      </c>
      <c r="BV125" s="381" t="s">
        <v>54</v>
      </c>
      <c r="BW125" s="381" t="s">
        <v>54</v>
      </c>
      <c r="BX125" s="381" t="s">
        <v>54</v>
      </c>
      <c r="BY125" s="381" t="s">
        <v>54</v>
      </c>
      <c r="BZ125" s="381" t="s">
        <v>54</v>
      </c>
      <c r="CA125" s="381" t="s">
        <v>54</v>
      </c>
      <c r="CB125" s="381" t="s">
        <v>54</v>
      </c>
      <c r="CC125" s="381" t="s">
        <v>54</v>
      </c>
      <c r="CD125" s="381" t="s">
        <v>54</v>
      </c>
      <c r="CE125" s="383" t="s">
        <v>54</v>
      </c>
      <c r="CF125" s="381" t="s">
        <v>54</v>
      </c>
      <c r="CG125" s="381" t="s">
        <v>54</v>
      </c>
      <c r="CH125" s="381" t="s">
        <v>54</v>
      </c>
      <c r="CI125" s="383" t="s">
        <v>54</v>
      </c>
      <c r="CJ125" s="381" t="s">
        <v>54</v>
      </c>
      <c r="CK125" s="381" t="s">
        <v>54</v>
      </c>
      <c r="CL125" s="381" t="s">
        <v>54</v>
      </c>
      <c r="CM125" s="483" t="s">
        <v>54</v>
      </c>
      <c r="CN125" s="483" t="s">
        <v>54</v>
      </c>
      <c r="CO125" s="491" t="s">
        <v>54</v>
      </c>
      <c r="CP125" s="491" t="s">
        <v>54</v>
      </c>
      <c r="CQ125" s="491" t="s">
        <v>54</v>
      </c>
      <c r="CR125" s="491" t="s">
        <v>54</v>
      </c>
      <c r="CS125" s="491" t="s">
        <v>54</v>
      </c>
      <c r="CT125" s="491" t="s">
        <v>2026</v>
      </c>
      <c r="CU125" s="491">
        <v>2015</v>
      </c>
      <c r="CV125" s="501" t="s">
        <v>2864</v>
      </c>
      <c r="CW125" s="491" t="s">
        <v>1975</v>
      </c>
      <c r="CX125" s="491" t="s">
        <v>54</v>
      </c>
      <c r="CY125" s="491" t="s">
        <v>54</v>
      </c>
      <c r="CZ125" s="491" t="s">
        <v>54</v>
      </c>
      <c r="DA125" s="491" t="s">
        <v>54</v>
      </c>
      <c r="DB125" s="491" t="s">
        <v>54</v>
      </c>
      <c r="DC125" s="491" t="s">
        <v>3010</v>
      </c>
      <c r="DD125" s="495" t="s">
        <v>3101</v>
      </c>
      <c r="DE125" s="491" t="s">
        <v>3011</v>
      </c>
      <c r="DF125" s="491" t="s">
        <v>52</v>
      </c>
      <c r="DG125" s="495" t="s">
        <v>54</v>
      </c>
      <c r="DH125" s="495" t="s">
        <v>54</v>
      </c>
      <c r="DI125" s="495" t="s">
        <v>54</v>
      </c>
      <c r="DJ125" s="495" t="s">
        <v>54</v>
      </c>
      <c r="DK125" s="495" t="s">
        <v>54</v>
      </c>
      <c r="DL125" s="495" t="s">
        <v>54</v>
      </c>
      <c r="DM125" s="382" t="s">
        <v>54</v>
      </c>
      <c r="DN125" s="536" t="s">
        <v>54</v>
      </c>
      <c r="DO125" s="381" t="s">
        <v>54</v>
      </c>
      <c r="DP125" s="385" t="s">
        <v>54</v>
      </c>
      <c r="DQ125" s="385" t="s">
        <v>54</v>
      </c>
      <c r="DR125" s="381" t="s">
        <v>54</v>
      </c>
      <c r="DS125" s="381" t="s">
        <v>54</v>
      </c>
      <c r="DT125" s="381" t="s">
        <v>54</v>
      </c>
      <c r="DU125" s="381" t="s">
        <v>54</v>
      </c>
      <c r="DV125" s="381" t="s">
        <v>54</v>
      </c>
      <c r="DW125" s="381" t="s">
        <v>54</v>
      </c>
      <c r="DX125" s="536" t="s">
        <v>54</v>
      </c>
      <c r="DY125" s="405" t="s">
        <v>54</v>
      </c>
      <c r="DZ125" s="536" t="s">
        <v>54</v>
      </c>
      <c r="EA125" s="405" t="s">
        <v>54</v>
      </c>
      <c r="EB125" s="405" t="s">
        <v>54</v>
      </c>
      <c r="EC125" s="405" t="s">
        <v>54</v>
      </c>
      <c r="ED125" s="381" t="s">
        <v>54</v>
      </c>
      <c r="EE125" s="381" t="s">
        <v>54</v>
      </c>
      <c r="EF125" s="381" t="s">
        <v>54</v>
      </c>
      <c r="EG125" s="381" t="s">
        <v>54</v>
      </c>
      <c r="EH125" s="381" t="s">
        <v>54</v>
      </c>
      <c r="EI125" s="381" t="s">
        <v>54</v>
      </c>
      <c r="EJ125" s="381" t="s">
        <v>54</v>
      </c>
      <c r="EK125" s="381" t="s">
        <v>54</v>
      </c>
      <c r="EL125" s="381" t="s">
        <v>54</v>
      </c>
      <c r="EM125" s="381" t="s">
        <v>54</v>
      </c>
      <c r="EN125" s="381" t="s">
        <v>54</v>
      </c>
      <c r="EO125" s="381" t="s">
        <v>54</v>
      </c>
      <c r="EP125" s="381" t="s">
        <v>54</v>
      </c>
      <c r="EQ125" s="381" t="s">
        <v>54</v>
      </c>
      <c r="ER125" s="381" t="s">
        <v>54</v>
      </c>
      <c r="ES125" s="381" t="s">
        <v>54</v>
      </c>
      <c r="ET125" s="381" t="s">
        <v>54</v>
      </c>
      <c r="EU125" s="381" t="s">
        <v>54</v>
      </c>
    </row>
    <row r="126" spans="1:151" s="1" customFormat="1" ht="19.899999999999999" customHeight="1">
      <c r="A126" s="492"/>
      <c r="B126" s="492"/>
      <c r="C126" s="487"/>
      <c r="D126" s="503"/>
      <c r="E126" s="506"/>
      <c r="F126" s="509"/>
      <c r="G126" s="513"/>
      <c r="H126" s="509"/>
      <c r="I126" s="509"/>
      <c r="J126" s="509"/>
      <c r="K126" s="492"/>
      <c r="L126" s="496"/>
      <c r="M126" s="492"/>
      <c r="N126" s="487"/>
      <c r="O126" s="513"/>
      <c r="P126" s="518"/>
      <c r="Q126" s="492"/>
      <c r="R126" s="381" t="s">
        <v>2728</v>
      </c>
      <c r="S126" s="381" t="s">
        <v>3097</v>
      </c>
      <c r="T126" s="381" t="s">
        <v>52</v>
      </c>
      <c r="U126" s="381" t="s">
        <v>52</v>
      </c>
      <c r="V126" s="381" t="s">
        <v>52</v>
      </c>
      <c r="W126" s="398">
        <v>381</v>
      </c>
      <c r="X126" s="490"/>
      <c r="Y126" s="401">
        <v>74</v>
      </c>
      <c r="Z126" s="523"/>
      <c r="AA126" s="398">
        <v>381</v>
      </c>
      <c r="AB126" s="492"/>
      <c r="AC126" s="381" t="s">
        <v>52</v>
      </c>
      <c r="AD126" s="492"/>
      <c r="AE126" s="401">
        <v>72.7</v>
      </c>
      <c r="AF126" s="381" t="s">
        <v>52</v>
      </c>
      <c r="AG126" s="381" t="s">
        <v>52</v>
      </c>
      <c r="AH126" s="381" t="s">
        <v>52</v>
      </c>
      <c r="AI126" s="381" t="s">
        <v>52</v>
      </c>
      <c r="AJ126" s="484"/>
      <c r="AK126" s="484"/>
      <c r="AL126" s="484"/>
      <c r="AM126" s="484"/>
      <c r="AN126" s="484"/>
      <c r="AO126" s="484"/>
      <c r="AP126" s="381" t="s">
        <v>54</v>
      </c>
      <c r="AQ126" s="487"/>
      <c r="AR126" s="381" t="s">
        <v>54</v>
      </c>
      <c r="AS126" s="385" t="s">
        <v>54</v>
      </c>
      <c r="AT126" s="385" t="s">
        <v>54</v>
      </c>
      <c r="AU126" s="381" t="s">
        <v>54</v>
      </c>
      <c r="AV126" s="381" t="s">
        <v>54</v>
      </c>
      <c r="AW126" s="381" t="s">
        <v>54</v>
      </c>
      <c r="AX126" s="381" t="s">
        <v>54</v>
      </c>
      <c r="AY126" s="386" t="s">
        <v>54</v>
      </c>
      <c r="AZ126" s="397" t="s">
        <v>54</v>
      </c>
      <c r="BA126" s="490"/>
      <c r="BB126" s="397" t="s">
        <v>54</v>
      </c>
      <c r="BC126" s="490"/>
      <c r="BD126" s="397" t="s">
        <v>54</v>
      </c>
      <c r="BE126" s="397" t="s">
        <v>54</v>
      </c>
      <c r="BF126" s="397" t="s">
        <v>54</v>
      </c>
      <c r="BG126" s="381" t="s">
        <v>54</v>
      </c>
      <c r="BH126" s="381" t="s">
        <v>54</v>
      </c>
      <c r="BI126" s="381" t="s">
        <v>54</v>
      </c>
      <c r="BJ126" s="381" t="s">
        <v>54</v>
      </c>
      <c r="BK126" s="381" t="s">
        <v>54</v>
      </c>
      <c r="BL126" s="381" t="s">
        <v>54</v>
      </c>
      <c r="BM126" s="381" t="s">
        <v>54</v>
      </c>
      <c r="BN126" s="381" t="s">
        <v>54</v>
      </c>
      <c r="BO126" s="381" t="s">
        <v>54</v>
      </c>
      <c r="BP126" s="381" t="s">
        <v>54</v>
      </c>
      <c r="BQ126" s="381" t="s">
        <v>54</v>
      </c>
      <c r="BR126" s="381" t="s">
        <v>54</v>
      </c>
      <c r="BS126" s="381" t="s">
        <v>54</v>
      </c>
      <c r="BT126" s="381" t="s">
        <v>54</v>
      </c>
      <c r="BU126" s="383" t="s">
        <v>54</v>
      </c>
      <c r="BV126" s="381" t="s">
        <v>54</v>
      </c>
      <c r="BW126" s="381" t="s">
        <v>54</v>
      </c>
      <c r="BX126" s="381" t="s">
        <v>54</v>
      </c>
      <c r="BY126" s="381" t="s">
        <v>54</v>
      </c>
      <c r="BZ126" s="381" t="s">
        <v>54</v>
      </c>
      <c r="CA126" s="381" t="s">
        <v>54</v>
      </c>
      <c r="CB126" s="381" t="s">
        <v>54</v>
      </c>
      <c r="CC126" s="381" t="s">
        <v>54</v>
      </c>
      <c r="CD126" s="381" t="s">
        <v>54</v>
      </c>
      <c r="CE126" s="383" t="s">
        <v>54</v>
      </c>
      <c r="CF126" s="381" t="s">
        <v>54</v>
      </c>
      <c r="CG126" s="381" t="s">
        <v>54</v>
      </c>
      <c r="CH126" s="381" t="s">
        <v>54</v>
      </c>
      <c r="CI126" s="383" t="s">
        <v>54</v>
      </c>
      <c r="CJ126" s="381" t="s">
        <v>54</v>
      </c>
      <c r="CK126" s="381" t="s">
        <v>54</v>
      </c>
      <c r="CL126" s="381" t="s">
        <v>54</v>
      </c>
      <c r="CM126" s="499"/>
      <c r="CN126" s="499"/>
      <c r="CO126" s="492"/>
      <c r="CP126" s="492"/>
      <c r="CQ126" s="492"/>
      <c r="CR126" s="492"/>
      <c r="CS126" s="492"/>
      <c r="CT126" s="492"/>
      <c r="CU126" s="492"/>
      <c r="CV126" s="501"/>
      <c r="CW126" s="492"/>
      <c r="CX126" s="492"/>
      <c r="CY126" s="492"/>
      <c r="CZ126" s="492"/>
      <c r="DA126" s="492"/>
      <c r="DB126" s="492"/>
      <c r="DC126" s="492"/>
      <c r="DD126" s="496"/>
      <c r="DE126" s="492"/>
      <c r="DF126" s="492"/>
      <c r="DG126" s="496"/>
      <c r="DH126" s="496"/>
      <c r="DI126" s="496"/>
      <c r="DJ126" s="496"/>
      <c r="DK126" s="496"/>
      <c r="DL126" s="496"/>
      <c r="DM126" s="382" t="s">
        <v>54</v>
      </c>
      <c r="DN126" s="537"/>
      <c r="DO126" s="381" t="s">
        <v>54</v>
      </c>
      <c r="DP126" s="385" t="s">
        <v>54</v>
      </c>
      <c r="DQ126" s="385" t="s">
        <v>54</v>
      </c>
      <c r="DR126" s="381" t="s">
        <v>54</v>
      </c>
      <c r="DS126" s="381" t="s">
        <v>54</v>
      </c>
      <c r="DT126" s="381" t="s">
        <v>54</v>
      </c>
      <c r="DU126" s="381" t="s">
        <v>54</v>
      </c>
      <c r="DV126" s="381" t="s">
        <v>54</v>
      </c>
      <c r="DW126" s="381" t="s">
        <v>54</v>
      </c>
      <c r="DX126" s="537"/>
      <c r="DY126" s="405" t="s">
        <v>54</v>
      </c>
      <c r="DZ126" s="537"/>
      <c r="EA126" s="405" t="s">
        <v>54</v>
      </c>
      <c r="EB126" s="405" t="s">
        <v>54</v>
      </c>
      <c r="EC126" s="405" t="s">
        <v>54</v>
      </c>
      <c r="ED126" s="381" t="s">
        <v>54</v>
      </c>
      <c r="EE126" s="381" t="s">
        <v>54</v>
      </c>
      <c r="EF126" s="381" t="s">
        <v>54</v>
      </c>
      <c r="EG126" s="381" t="s">
        <v>54</v>
      </c>
      <c r="EH126" s="381" t="s">
        <v>54</v>
      </c>
      <c r="EI126" s="381" t="s">
        <v>54</v>
      </c>
      <c r="EJ126" s="381" t="s">
        <v>54</v>
      </c>
      <c r="EK126" s="381" t="s">
        <v>54</v>
      </c>
      <c r="EL126" s="381" t="s">
        <v>54</v>
      </c>
      <c r="EM126" s="381" t="s">
        <v>54</v>
      </c>
      <c r="EN126" s="381" t="s">
        <v>54</v>
      </c>
      <c r="EO126" s="381" t="s">
        <v>54</v>
      </c>
      <c r="EP126" s="381" t="s">
        <v>54</v>
      </c>
      <c r="EQ126" s="381" t="s">
        <v>54</v>
      </c>
      <c r="ER126" s="381" t="s">
        <v>54</v>
      </c>
      <c r="ES126" s="381" t="s">
        <v>54</v>
      </c>
      <c r="ET126" s="381" t="s">
        <v>54</v>
      </c>
      <c r="EU126" s="381" t="s">
        <v>54</v>
      </c>
    </row>
    <row r="127" spans="1:151" s="1" customFormat="1" ht="19.899999999999999" customHeight="1">
      <c r="A127" s="493"/>
      <c r="B127" s="493"/>
      <c r="C127" s="487"/>
      <c r="D127" s="504"/>
      <c r="E127" s="507"/>
      <c r="F127" s="510"/>
      <c r="G127" s="514"/>
      <c r="H127" s="510"/>
      <c r="I127" s="510"/>
      <c r="J127" s="510"/>
      <c r="K127" s="493"/>
      <c r="L127" s="497"/>
      <c r="M127" s="493"/>
      <c r="N127" s="487"/>
      <c r="O127" s="514"/>
      <c r="P127" s="518"/>
      <c r="Q127" s="493"/>
      <c r="R127" s="381" t="s">
        <v>54</v>
      </c>
      <c r="S127" s="381" t="s">
        <v>54</v>
      </c>
      <c r="T127" s="381" t="s">
        <v>54</v>
      </c>
      <c r="U127" s="381" t="s">
        <v>54</v>
      </c>
      <c r="V127" s="381" t="s">
        <v>54</v>
      </c>
      <c r="W127" s="381" t="s">
        <v>54</v>
      </c>
      <c r="X127" s="490"/>
      <c r="Y127" s="2" t="s">
        <v>54</v>
      </c>
      <c r="Z127" s="523"/>
      <c r="AA127" s="381" t="s">
        <v>54</v>
      </c>
      <c r="AB127" s="493"/>
      <c r="AC127" s="381" t="s">
        <v>54</v>
      </c>
      <c r="AD127" s="493"/>
      <c r="AE127" s="2" t="s">
        <v>54</v>
      </c>
      <c r="AF127" s="381" t="s">
        <v>54</v>
      </c>
      <c r="AG127" s="381" t="s">
        <v>54</v>
      </c>
      <c r="AH127" s="381" t="s">
        <v>54</v>
      </c>
      <c r="AI127" s="381" t="s">
        <v>54</v>
      </c>
      <c r="AJ127" s="484"/>
      <c r="AK127" s="484"/>
      <c r="AL127" s="484"/>
      <c r="AM127" s="484"/>
      <c r="AN127" s="484"/>
      <c r="AO127" s="484"/>
      <c r="AP127" s="381" t="s">
        <v>54</v>
      </c>
      <c r="AQ127" s="487"/>
      <c r="AR127" s="381" t="s">
        <v>54</v>
      </c>
      <c r="AS127" s="385" t="s">
        <v>54</v>
      </c>
      <c r="AT127" s="385" t="s">
        <v>54</v>
      </c>
      <c r="AU127" s="381" t="s">
        <v>54</v>
      </c>
      <c r="AV127" s="381" t="s">
        <v>54</v>
      </c>
      <c r="AW127" s="381" t="s">
        <v>54</v>
      </c>
      <c r="AX127" s="381" t="s">
        <v>54</v>
      </c>
      <c r="AY127" s="386" t="s">
        <v>54</v>
      </c>
      <c r="AZ127" s="397" t="s">
        <v>54</v>
      </c>
      <c r="BA127" s="490"/>
      <c r="BB127" s="397" t="s">
        <v>54</v>
      </c>
      <c r="BC127" s="490"/>
      <c r="BD127" s="397" t="s">
        <v>54</v>
      </c>
      <c r="BE127" s="397" t="s">
        <v>54</v>
      </c>
      <c r="BF127" s="397" t="s">
        <v>54</v>
      </c>
      <c r="BG127" s="381" t="s">
        <v>54</v>
      </c>
      <c r="BH127" s="381" t="s">
        <v>54</v>
      </c>
      <c r="BI127" s="381" t="s">
        <v>54</v>
      </c>
      <c r="BJ127" s="381" t="s">
        <v>54</v>
      </c>
      <c r="BK127" s="381" t="s">
        <v>54</v>
      </c>
      <c r="BL127" s="381" t="s">
        <v>54</v>
      </c>
      <c r="BM127" s="381" t="s">
        <v>54</v>
      </c>
      <c r="BN127" s="381" t="s">
        <v>54</v>
      </c>
      <c r="BO127" s="381" t="s">
        <v>54</v>
      </c>
      <c r="BP127" s="381" t="s">
        <v>54</v>
      </c>
      <c r="BQ127" s="381" t="s">
        <v>54</v>
      </c>
      <c r="BR127" s="381" t="s">
        <v>54</v>
      </c>
      <c r="BS127" s="381" t="s">
        <v>54</v>
      </c>
      <c r="BT127" s="381" t="s">
        <v>54</v>
      </c>
      <c r="BU127" s="383" t="s">
        <v>54</v>
      </c>
      <c r="BV127" s="381" t="s">
        <v>54</v>
      </c>
      <c r="BW127" s="381" t="s">
        <v>54</v>
      </c>
      <c r="BX127" s="381" t="s">
        <v>54</v>
      </c>
      <c r="BY127" s="381" t="s">
        <v>54</v>
      </c>
      <c r="BZ127" s="381" t="s">
        <v>54</v>
      </c>
      <c r="CA127" s="381" t="s">
        <v>54</v>
      </c>
      <c r="CB127" s="381" t="s">
        <v>54</v>
      </c>
      <c r="CC127" s="381" t="s">
        <v>54</v>
      </c>
      <c r="CD127" s="381" t="s">
        <v>54</v>
      </c>
      <c r="CE127" s="383" t="s">
        <v>54</v>
      </c>
      <c r="CF127" s="381" t="s">
        <v>54</v>
      </c>
      <c r="CG127" s="381" t="s">
        <v>54</v>
      </c>
      <c r="CH127" s="381" t="s">
        <v>54</v>
      </c>
      <c r="CI127" s="383" t="s">
        <v>54</v>
      </c>
      <c r="CJ127" s="381" t="s">
        <v>54</v>
      </c>
      <c r="CK127" s="381" t="s">
        <v>54</v>
      </c>
      <c r="CL127" s="381" t="s">
        <v>54</v>
      </c>
      <c r="CM127" s="499"/>
      <c r="CN127" s="499"/>
      <c r="CO127" s="493"/>
      <c r="CP127" s="493"/>
      <c r="CQ127" s="493"/>
      <c r="CR127" s="493"/>
      <c r="CS127" s="493"/>
      <c r="CT127" s="493"/>
      <c r="CU127" s="493"/>
      <c r="CV127" s="501"/>
      <c r="CW127" s="493"/>
      <c r="CX127" s="493"/>
      <c r="CY127" s="493"/>
      <c r="CZ127" s="493"/>
      <c r="DA127" s="493"/>
      <c r="DB127" s="493"/>
      <c r="DC127" s="493"/>
      <c r="DD127" s="497"/>
      <c r="DE127" s="493"/>
      <c r="DF127" s="493"/>
      <c r="DG127" s="497"/>
      <c r="DH127" s="497"/>
      <c r="DI127" s="497"/>
      <c r="DJ127" s="497"/>
      <c r="DK127" s="497"/>
      <c r="DL127" s="497"/>
      <c r="DM127" s="382" t="s">
        <v>54</v>
      </c>
      <c r="DN127" s="537"/>
      <c r="DO127" s="381" t="s">
        <v>54</v>
      </c>
      <c r="DP127" s="385" t="s">
        <v>54</v>
      </c>
      <c r="DQ127" s="385" t="s">
        <v>54</v>
      </c>
      <c r="DR127" s="381" t="s">
        <v>54</v>
      </c>
      <c r="DS127" s="381" t="s">
        <v>54</v>
      </c>
      <c r="DT127" s="381" t="s">
        <v>54</v>
      </c>
      <c r="DU127" s="381" t="s">
        <v>54</v>
      </c>
      <c r="DV127" s="381" t="s">
        <v>54</v>
      </c>
      <c r="DW127" s="381" t="s">
        <v>54</v>
      </c>
      <c r="DX127" s="537"/>
      <c r="DY127" s="405" t="s">
        <v>54</v>
      </c>
      <c r="DZ127" s="537"/>
      <c r="EA127" s="405" t="s">
        <v>54</v>
      </c>
      <c r="EB127" s="405" t="s">
        <v>54</v>
      </c>
      <c r="EC127" s="405" t="s">
        <v>54</v>
      </c>
      <c r="ED127" s="381" t="s">
        <v>54</v>
      </c>
      <c r="EE127" s="381" t="s">
        <v>54</v>
      </c>
      <c r="EF127" s="381" t="s">
        <v>54</v>
      </c>
      <c r="EG127" s="381" t="s">
        <v>54</v>
      </c>
      <c r="EH127" s="381" t="s">
        <v>54</v>
      </c>
      <c r="EI127" s="381" t="s">
        <v>54</v>
      </c>
      <c r="EJ127" s="381" t="s">
        <v>54</v>
      </c>
      <c r="EK127" s="381" t="s">
        <v>54</v>
      </c>
      <c r="EL127" s="381" t="s">
        <v>54</v>
      </c>
      <c r="EM127" s="381" t="s">
        <v>54</v>
      </c>
      <c r="EN127" s="381" t="s">
        <v>54</v>
      </c>
      <c r="EO127" s="381" t="s">
        <v>54</v>
      </c>
      <c r="EP127" s="381" t="s">
        <v>54</v>
      </c>
      <c r="EQ127" s="381" t="s">
        <v>54</v>
      </c>
      <c r="ER127" s="381" t="s">
        <v>54</v>
      </c>
      <c r="ES127" s="381" t="s">
        <v>54</v>
      </c>
      <c r="ET127" s="381" t="s">
        <v>54</v>
      </c>
      <c r="EU127" s="381" t="s">
        <v>54</v>
      </c>
    </row>
    <row r="128" spans="1:151" s="1" customFormat="1" ht="19.899999999999999" customHeight="1">
      <c r="A128" s="494"/>
      <c r="B128" s="494"/>
      <c r="C128" s="488"/>
      <c r="D128" s="505"/>
      <c r="E128" s="508"/>
      <c r="F128" s="511"/>
      <c r="G128" s="515"/>
      <c r="H128" s="511"/>
      <c r="I128" s="511"/>
      <c r="J128" s="511"/>
      <c r="K128" s="494"/>
      <c r="L128" s="498"/>
      <c r="M128" s="494"/>
      <c r="N128" s="488"/>
      <c r="O128" s="515"/>
      <c r="P128" s="519"/>
      <c r="Q128" s="494"/>
      <c r="R128" s="381" t="s">
        <v>54</v>
      </c>
      <c r="S128" s="381" t="s">
        <v>54</v>
      </c>
      <c r="T128" s="381" t="s">
        <v>54</v>
      </c>
      <c r="U128" s="381" t="s">
        <v>54</v>
      </c>
      <c r="V128" s="381" t="s">
        <v>54</v>
      </c>
      <c r="W128" s="381" t="s">
        <v>54</v>
      </c>
      <c r="X128" s="490"/>
      <c r="Y128" s="2" t="s">
        <v>54</v>
      </c>
      <c r="Z128" s="523"/>
      <c r="AA128" s="381" t="s">
        <v>54</v>
      </c>
      <c r="AB128" s="494"/>
      <c r="AC128" s="381" t="s">
        <v>54</v>
      </c>
      <c r="AD128" s="494"/>
      <c r="AE128" s="2" t="s">
        <v>54</v>
      </c>
      <c r="AF128" s="381" t="s">
        <v>54</v>
      </c>
      <c r="AG128" s="381" t="s">
        <v>54</v>
      </c>
      <c r="AH128" s="381" t="s">
        <v>54</v>
      </c>
      <c r="AI128" s="381" t="s">
        <v>54</v>
      </c>
      <c r="AJ128" s="485"/>
      <c r="AK128" s="485"/>
      <c r="AL128" s="485"/>
      <c r="AM128" s="485"/>
      <c r="AN128" s="485"/>
      <c r="AO128" s="485"/>
      <c r="AP128" s="381" t="s">
        <v>54</v>
      </c>
      <c r="AQ128" s="488"/>
      <c r="AR128" s="381" t="s">
        <v>54</v>
      </c>
      <c r="AS128" s="385" t="s">
        <v>54</v>
      </c>
      <c r="AT128" s="385" t="s">
        <v>54</v>
      </c>
      <c r="AU128" s="381" t="s">
        <v>54</v>
      </c>
      <c r="AV128" s="381" t="s">
        <v>54</v>
      </c>
      <c r="AW128" s="381" t="s">
        <v>54</v>
      </c>
      <c r="AX128" s="381" t="s">
        <v>54</v>
      </c>
      <c r="AY128" s="386" t="s">
        <v>54</v>
      </c>
      <c r="AZ128" s="397" t="s">
        <v>54</v>
      </c>
      <c r="BA128" s="490"/>
      <c r="BB128" s="397" t="s">
        <v>54</v>
      </c>
      <c r="BC128" s="490"/>
      <c r="BD128" s="397" t="s">
        <v>54</v>
      </c>
      <c r="BE128" s="397" t="s">
        <v>54</v>
      </c>
      <c r="BF128" s="397" t="s">
        <v>54</v>
      </c>
      <c r="BG128" s="381" t="s">
        <v>54</v>
      </c>
      <c r="BH128" s="381" t="s">
        <v>54</v>
      </c>
      <c r="BI128" s="381" t="s">
        <v>54</v>
      </c>
      <c r="BJ128" s="381" t="s">
        <v>54</v>
      </c>
      <c r="BK128" s="381" t="s">
        <v>54</v>
      </c>
      <c r="BL128" s="381" t="s">
        <v>54</v>
      </c>
      <c r="BM128" s="381" t="s">
        <v>54</v>
      </c>
      <c r="BN128" s="381" t="s">
        <v>54</v>
      </c>
      <c r="BO128" s="381" t="s">
        <v>54</v>
      </c>
      <c r="BP128" s="381" t="s">
        <v>54</v>
      </c>
      <c r="BQ128" s="381" t="s">
        <v>54</v>
      </c>
      <c r="BR128" s="381" t="s">
        <v>54</v>
      </c>
      <c r="BS128" s="381" t="s">
        <v>54</v>
      </c>
      <c r="BT128" s="381" t="s">
        <v>54</v>
      </c>
      <c r="BU128" s="383" t="s">
        <v>54</v>
      </c>
      <c r="BV128" s="381" t="s">
        <v>54</v>
      </c>
      <c r="BW128" s="381" t="s">
        <v>54</v>
      </c>
      <c r="BX128" s="381" t="s">
        <v>54</v>
      </c>
      <c r="BY128" s="381" t="s">
        <v>54</v>
      </c>
      <c r="BZ128" s="381" t="s">
        <v>54</v>
      </c>
      <c r="CA128" s="381" t="s">
        <v>54</v>
      </c>
      <c r="CB128" s="381" t="s">
        <v>54</v>
      </c>
      <c r="CC128" s="381" t="s">
        <v>54</v>
      </c>
      <c r="CD128" s="381" t="s">
        <v>54</v>
      </c>
      <c r="CE128" s="383" t="s">
        <v>54</v>
      </c>
      <c r="CF128" s="381" t="s">
        <v>54</v>
      </c>
      <c r="CG128" s="381" t="s">
        <v>54</v>
      </c>
      <c r="CH128" s="381" t="s">
        <v>54</v>
      </c>
      <c r="CI128" s="383" t="s">
        <v>54</v>
      </c>
      <c r="CJ128" s="381" t="s">
        <v>54</v>
      </c>
      <c r="CK128" s="381" t="s">
        <v>54</v>
      </c>
      <c r="CL128" s="381" t="s">
        <v>54</v>
      </c>
      <c r="CM128" s="500"/>
      <c r="CN128" s="500"/>
      <c r="CO128" s="494"/>
      <c r="CP128" s="494"/>
      <c r="CQ128" s="494"/>
      <c r="CR128" s="494"/>
      <c r="CS128" s="494"/>
      <c r="CT128" s="494"/>
      <c r="CU128" s="494"/>
      <c r="CV128" s="501"/>
      <c r="CW128" s="494"/>
      <c r="CX128" s="494"/>
      <c r="CY128" s="494"/>
      <c r="CZ128" s="494"/>
      <c r="DA128" s="494"/>
      <c r="DB128" s="494"/>
      <c r="DC128" s="494"/>
      <c r="DD128" s="498"/>
      <c r="DE128" s="494"/>
      <c r="DF128" s="494"/>
      <c r="DG128" s="498"/>
      <c r="DH128" s="498"/>
      <c r="DI128" s="498"/>
      <c r="DJ128" s="498"/>
      <c r="DK128" s="498"/>
      <c r="DL128" s="498"/>
      <c r="DM128" s="382" t="s">
        <v>54</v>
      </c>
      <c r="DN128" s="537"/>
      <c r="DO128" s="381" t="s">
        <v>54</v>
      </c>
      <c r="DP128" s="385" t="s">
        <v>54</v>
      </c>
      <c r="DQ128" s="385" t="s">
        <v>54</v>
      </c>
      <c r="DR128" s="381" t="s">
        <v>54</v>
      </c>
      <c r="DS128" s="381" t="s">
        <v>54</v>
      </c>
      <c r="DT128" s="381" t="s">
        <v>54</v>
      </c>
      <c r="DU128" s="381" t="s">
        <v>54</v>
      </c>
      <c r="DV128" s="381" t="s">
        <v>54</v>
      </c>
      <c r="DW128" s="381" t="s">
        <v>54</v>
      </c>
      <c r="DX128" s="537"/>
      <c r="DY128" s="405" t="s">
        <v>54</v>
      </c>
      <c r="DZ128" s="537"/>
      <c r="EA128" s="405" t="s">
        <v>54</v>
      </c>
      <c r="EB128" s="405" t="s">
        <v>54</v>
      </c>
      <c r="EC128" s="405" t="s">
        <v>54</v>
      </c>
      <c r="ED128" s="381" t="s">
        <v>54</v>
      </c>
      <c r="EE128" s="381" t="s">
        <v>54</v>
      </c>
      <c r="EF128" s="381" t="s">
        <v>54</v>
      </c>
      <c r="EG128" s="381" t="s">
        <v>54</v>
      </c>
      <c r="EH128" s="381" t="s">
        <v>54</v>
      </c>
      <c r="EI128" s="381" t="s">
        <v>54</v>
      </c>
      <c r="EJ128" s="381" t="s">
        <v>54</v>
      </c>
      <c r="EK128" s="381" t="s">
        <v>54</v>
      </c>
      <c r="EL128" s="381" t="s">
        <v>54</v>
      </c>
      <c r="EM128" s="381" t="s">
        <v>54</v>
      </c>
      <c r="EN128" s="381" t="s">
        <v>54</v>
      </c>
      <c r="EO128" s="381" t="s">
        <v>54</v>
      </c>
      <c r="EP128" s="381" t="s">
        <v>54</v>
      </c>
      <c r="EQ128" s="381" t="s">
        <v>54</v>
      </c>
      <c r="ER128" s="381" t="s">
        <v>54</v>
      </c>
      <c r="ES128" s="381" t="s">
        <v>54</v>
      </c>
      <c r="ET128" s="381" t="s">
        <v>54</v>
      </c>
      <c r="EU128" s="381" t="s">
        <v>54</v>
      </c>
    </row>
    <row r="129" spans="1:151" s="1" customFormat="1" ht="19.899999999999999" customHeight="1">
      <c r="A129" s="491">
        <v>16</v>
      </c>
      <c r="B129" s="491">
        <v>16</v>
      </c>
      <c r="C129" s="486" t="s">
        <v>2797</v>
      </c>
      <c r="D129" s="491" t="s">
        <v>3031</v>
      </c>
      <c r="E129" s="495" t="s">
        <v>2924</v>
      </c>
      <c r="F129" s="491" t="s">
        <v>3064</v>
      </c>
      <c r="G129" s="512" t="s">
        <v>3048</v>
      </c>
      <c r="H129" s="491" t="s">
        <v>3014</v>
      </c>
      <c r="I129" s="491" t="s">
        <v>3065</v>
      </c>
      <c r="J129" s="491" t="s">
        <v>52</v>
      </c>
      <c r="K129" s="516" t="s">
        <v>3131</v>
      </c>
      <c r="L129" s="495" t="s">
        <v>3133</v>
      </c>
      <c r="M129" s="491" t="s">
        <v>3032</v>
      </c>
      <c r="N129" s="486" t="s">
        <v>3133</v>
      </c>
      <c r="O129" s="512" t="s">
        <v>3049</v>
      </c>
      <c r="P129" s="517" t="s">
        <v>2902</v>
      </c>
      <c r="Q129" s="491">
        <v>1</v>
      </c>
      <c r="R129" s="381" t="s">
        <v>2974</v>
      </c>
      <c r="S129" s="381" t="s">
        <v>52</v>
      </c>
      <c r="T129" s="381" t="s">
        <v>52</v>
      </c>
      <c r="U129" s="381" t="s">
        <v>52</v>
      </c>
      <c r="V129" s="381" t="s">
        <v>52</v>
      </c>
      <c r="W129" s="398">
        <v>436</v>
      </c>
      <c r="X129" s="489">
        <v>436</v>
      </c>
      <c r="Y129" s="381" t="s">
        <v>52</v>
      </c>
      <c r="Z129" s="520" t="s">
        <v>52</v>
      </c>
      <c r="AA129" s="381" t="s">
        <v>52</v>
      </c>
      <c r="AB129" s="491">
        <f>X129</f>
        <v>436</v>
      </c>
      <c r="AC129" s="381" t="s">
        <v>52</v>
      </c>
      <c r="AD129" s="491" t="s">
        <v>52</v>
      </c>
      <c r="AE129" s="381" t="s">
        <v>52</v>
      </c>
      <c r="AF129" s="381" t="s">
        <v>52</v>
      </c>
      <c r="AG129" s="381" t="s">
        <v>52</v>
      </c>
      <c r="AH129" s="381" t="s">
        <v>52</v>
      </c>
      <c r="AI129" s="381" t="s">
        <v>52</v>
      </c>
      <c r="AJ129" s="483" t="s">
        <v>54</v>
      </c>
      <c r="AK129" s="483" t="s">
        <v>54</v>
      </c>
      <c r="AL129" s="483" t="s">
        <v>54</v>
      </c>
      <c r="AM129" s="483" t="s">
        <v>54</v>
      </c>
      <c r="AN129" s="483" t="s">
        <v>54</v>
      </c>
      <c r="AO129" s="483" t="s">
        <v>54</v>
      </c>
      <c r="AP129" s="381" t="s">
        <v>54</v>
      </c>
      <c r="AQ129" s="486" t="s">
        <v>54</v>
      </c>
      <c r="AR129" s="381" t="s">
        <v>54</v>
      </c>
      <c r="AS129" s="385" t="s">
        <v>54</v>
      </c>
      <c r="AT129" s="385" t="s">
        <v>54</v>
      </c>
      <c r="AU129" s="381" t="s">
        <v>54</v>
      </c>
      <c r="AV129" s="381" t="s">
        <v>54</v>
      </c>
      <c r="AW129" s="381" t="s">
        <v>54</v>
      </c>
      <c r="AX129" s="381" t="s">
        <v>54</v>
      </c>
      <c r="AY129" s="386" t="s">
        <v>54</v>
      </c>
      <c r="AZ129" s="397" t="s">
        <v>54</v>
      </c>
      <c r="BA129" s="489" t="s">
        <v>54</v>
      </c>
      <c r="BB129" s="397" t="s">
        <v>54</v>
      </c>
      <c r="BC129" s="489" t="s">
        <v>54</v>
      </c>
      <c r="BD129" s="397" t="s">
        <v>54</v>
      </c>
      <c r="BE129" s="397" t="s">
        <v>54</v>
      </c>
      <c r="BF129" s="397" t="s">
        <v>54</v>
      </c>
      <c r="BG129" s="381" t="s">
        <v>54</v>
      </c>
      <c r="BH129" s="381" t="s">
        <v>54</v>
      </c>
      <c r="BI129" s="381" t="s">
        <v>54</v>
      </c>
      <c r="BJ129" s="381" t="s">
        <v>54</v>
      </c>
      <c r="BK129" s="381" t="s">
        <v>54</v>
      </c>
      <c r="BL129" s="381" t="s">
        <v>54</v>
      </c>
      <c r="BM129" s="381" t="s">
        <v>54</v>
      </c>
      <c r="BN129" s="381" t="s">
        <v>54</v>
      </c>
      <c r="BO129" s="381" t="s">
        <v>54</v>
      </c>
      <c r="BP129" s="381" t="s">
        <v>54</v>
      </c>
      <c r="BQ129" s="381" t="s">
        <v>54</v>
      </c>
      <c r="BR129" s="381" t="s">
        <v>54</v>
      </c>
      <c r="BS129" s="381" t="s">
        <v>54</v>
      </c>
      <c r="BT129" s="381" t="s">
        <v>54</v>
      </c>
      <c r="BU129" s="383" t="s">
        <v>54</v>
      </c>
      <c r="BV129" s="381" t="s">
        <v>54</v>
      </c>
      <c r="BW129" s="381" t="s">
        <v>54</v>
      </c>
      <c r="BX129" s="381" t="s">
        <v>54</v>
      </c>
      <c r="BY129" s="381" t="s">
        <v>54</v>
      </c>
      <c r="BZ129" s="381" t="s">
        <v>54</v>
      </c>
      <c r="CA129" s="381" t="s">
        <v>54</v>
      </c>
      <c r="CB129" s="381" t="s">
        <v>54</v>
      </c>
      <c r="CC129" s="381" t="s">
        <v>54</v>
      </c>
      <c r="CD129" s="381" t="s">
        <v>54</v>
      </c>
      <c r="CE129" s="383" t="s">
        <v>54</v>
      </c>
      <c r="CF129" s="381" t="s">
        <v>54</v>
      </c>
      <c r="CG129" s="381" t="s">
        <v>54</v>
      </c>
      <c r="CH129" s="381" t="s">
        <v>54</v>
      </c>
      <c r="CI129" s="383" t="s">
        <v>54</v>
      </c>
      <c r="CJ129" s="381" t="s">
        <v>54</v>
      </c>
      <c r="CK129" s="381" t="s">
        <v>54</v>
      </c>
      <c r="CL129" s="381" t="s">
        <v>54</v>
      </c>
      <c r="CM129" s="483" t="s">
        <v>54</v>
      </c>
      <c r="CN129" s="483" t="s">
        <v>54</v>
      </c>
      <c r="CO129" s="491" t="s">
        <v>54</v>
      </c>
      <c r="CP129" s="491" t="s">
        <v>54</v>
      </c>
      <c r="CQ129" s="491" t="s">
        <v>54</v>
      </c>
      <c r="CR129" s="491" t="s">
        <v>54</v>
      </c>
      <c r="CS129" s="491" t="s">
        <v>54</v>
      </c>
      <c r="CT129" s="491" t="s">
        <v>2026</v>
      </c>
      <c r="CU129" s="491">
        <v>2017</v>
      </c>
      <c r="CV129" s="501" t="s">
        <v>2864</v>
      </c>
      <c r="CW129" s="491" t="s">
        <v>1975</v>
      </c>
      <c r="CX129" s="491" t="s">
        <v>54</v>
      </c>
      <c r="CY129" s="491" t="s">
        <v>54</v>
      </c>
      <c r="CZ129" s="491" t="s">
        <v>54</v>
      </c>
      <c r="DA129" s="491" t="s">
        <v>54</v>
      </c>
      <c r="DB129" s="491" t="s">
        <v>54</v>
      </c>
      <c r="DC129" s="491" t="s">
        <v>3013</v>
      </c>
      <c r="DD129" s="495" t="s">
        <v>3099</v>
      </c>
      <c r="DE129" s="491" t="s">
        <v>3012</v>
      </c>
      <c r="DF129" s="491" t="s">
        <v>52</v>
      </c>
      <c r="DG129" s="495" t="s">
        <v>54</v>
      </c>
      <c r="DH129" s="495" t="s">
        <v>54</v>
      </c>
      <c r="DI129" s="495" t="s">
        <v>54</v>
      </c>
      <c r="DJ129" s="495" t="s">
        <v>54</v>
      </c>
      <c r="DK129" s="495" t="s">
        <v>54</v>
      </c>
      <c r="DL129" s="495" t="s">
        <v>54</v>
      </c>
      <c r="DM129" s="382" t="s">
        <v>54</v>
      </c>
      <c r="DN129" s="536" t="s">
        <v>54</v>
      </c>
      <c r="DO129" s="381" t="s">
        <v>54</v>
      </c>
      <c r="DP129" s="385" t="s">
        <v>54</v>
      </c>
      <c r="DQ129" s="385" t="s">
        <v>54</v>
      </c>
      <c r="DR129" s="381" t="s">
        <v>54</v>
      </c>
      <c r="DS129" s="381" t="s">
        <v>54</v>
      </c>
      <c r="DT129" s="381" t="s">
        <v>54</v>
      </c>
      <c r="DU129" s="381" t="s">
        <v>54</v>
      </c>
      <c r="DV129" s="381" t="s">
        <v>54</v>
      </c>
      <c r="DW129" s="381" t="s">
        <v>54</v>
      </c>
      <c r="DX129" s="536" t="s">
        <v>54</v>
      </c>
      <c r="DY129" s="405" t="s">
        <v>54</v>
      </c>
      <c r="DZ129" s="536" t="s">
        <v>54</v>
      </c>
      <c r="EA129" s="405" t="s">
        <v>54</v>
      </c>
      <c r="EB129" s="405" t="s">
        <v>54</v>
      </c>
      <c r="EC129" s="405" t="s">
        <v>54</v>
      </c>
      <c r="ED129" s="381" t="s">
        <v>54</v>
      </c>
      <c r="EE129" s="381" t="s">
        <v>54</v>
      </c>
      <c r="EF129" s="381" t="s">
        <v>54</v>
      </c>
      <c r="EG129" s="381" t="s">
        <v>54</v>
      </c>
      <c r="EH129" s="381" t="s">
        <v>54</v>
      </c>
      <c r="EI129" s="381" t="s">
        <v>54</v>
      </c>
      <c r="EJ129" s="381" t="s">
        <v>54</v>
      </c>
      <c r="EK129" s="381" t="s">
        <v>54</v>
      </c>
      <c r="EL129" s="381" t="s">
        <v>54</v>
      </c>
      <c r="EM129" s="381" t="s">
        <v>54</v>
      </c>
      <c r="EN129" s="381" t="s">
        <v>54</v>
      </c>
      <c r="EO129" s="381" t="s">
        <v>54</v>
      </c>
      <c r="EP129" s="381" t="s">
        <v>54</v>
      </c>
      <c r="EQ129" s="381" t="s">
        <v>54</v>
      </c>
      <c r="ER129" s="381" t="s">
        <v>54</v>
      </c>
      <c r="ES129" s="381" t="s">
        <v>54</v>
      </c>
      <c r="ET129" s="381" t="s">
        <v>54</v>
      </c>
      <c r="EU129" s="381" t="s">
        <v>54</v>
      </c>
    </row>
    <row r="130" spans="1:151" s="1" customFormat="1" ht="19.899999999999999" customHeight="1">
      <c r="A130" s="492"/>
      <c r="B130" s="492"/>
      <c r="C130" s="487"/>
      <c r="D130" s="509"/>
      <c r="E130" s="506"/>
      <c r="F130" s="509"/>
      <c r="G130" s="513"/>
      <c r="H130" s="509"/>
      <c r="I130" s="509"/>
      <c r="J130" s="509"/>
      <c r="K130" s="492"/>
      <c r="L130" s="496"/>
      <c r="M130" s="492"/>
      <c r="N130" s="487"/>
      <c r="O130" s="513"/>
      <c r="P130" s="518"/>
      <c r="Q130" s="492"/>
      <c r="R130" s="381" t="s">
        <v>54</v>
      </c>
      <c r="S130" s="381" t="s">
        <v>54</v>
      </c>
      <c r="T130" s="381" t="s">
        <v>54</v>
      </c>
      <c r="U130" s="381" t="s">
        <v>54</v>
      </c>
      <c r="V130" s="381" t="s">
        <v>54</v>
      </c>
      <c r="W130" s="381" t="s">
        <v>54</v>
      </c>
      <c r="X130" s="490"/>
      <c r="Y130" s="381" t="s">
        <v>54</v>
      </c>
      <c r="Z130" s="521"/>
      <c r="AA130" s="381" t="s">
        <v>54</v>
      </c>
      <c r="AB130" s="492"/>
      <c r="AC130" s="381" t="s">
        <v>54</v>
      </c>
      <c r="AD130" s="492"/>
      <c r="AE130" s="381" t="s">
        <v>54</v>
      </c>
      <c r="AF130" s="381" t="s">
        <v>54</v>
      </c>
      <c r="AG130" s="381" t="s">
        <v>54</v>
      </c>
      <c r="AH130" s="381" t="s">
        <v>54</v>
      </c>
      <c r="AI130" s="381" t="s">
        <v>54</v>
      </c>
      <c r="AJ130" s="484"/>
      <c r="AK130" s="484"/>
      <c r="AL130" s="484"/>
      <c r="AM130" s="484"/>
      <c r="AN130" s="484"/>
      <c r="AO130" s="484"/>
      <c r="AP130" s="381" t="s">
        <v>54</v>
      </c>
      <c r="AQ130" s="487"/>
      <c r="AR130" s="381" t="s">
        <v>54</v>
      </c>
      <c r="AS130" s="385" t="s">
        <v>54</v>
      </c>
      <c r="AT130" s="385" t="s">
        <v>54</v>
      </c>
      <c r="AU130" s="381" t="s">
        <v>54</v>
      </c>
      <c r="AV130" s="381" t="s">
        <v>54</v>
      </c>
      <c r="AW130" s="381" t="s">
        <v>54</v>
      </c>
      <c r="AX130" s="381" t="s">
        <v>54</v>
      </c>
      <c r="AY130" s="386" t="s">
        <v>54</v>
      </c>
      <c r="AZ130" s="397" t="s">
        <v>54</v>
      </c>
      <c r="BA130" s="490"/>
      <c r="BB130" s="397" t="s">
        <v>54</v>
      </c>
      <c r="BC130" s="490"/>
      <c r="BD130" s="397" t="s">
        <v>54</v>
      </c>
      <c r="BE130" s="397" t="s">
        <v>54</v>
      </c>
      <c r="BF130" s="397" t="s">
        <v>54</v>
      </c>
      <c r="BG130" s="381" t="s">
        <v>54</v>
      </c>
      <c r="BH130" s="381" t="s">
        <v>54</v>
      </c>
      <c r="BI130" s="381" t="s">
        <v>54</v>
      </c>
      <c r="BJ130" s="381" t="s">
        <v>54</v>
      </c>
      <c r="BK130" s="381" t="s">
        <v>54</v>
      </c>
      <c r="BL130" s="381" t="s">
        <v>54</v>
      </c>
      <c r="BM130" s="381" t="s">
        <v>54</v>
      </c>
      <c r="BN130" s="381" t="s">
        <v>54</v>
      </c>
      <c r="BO130" s="381" t="s">
        <v>54</v>
      </c>
      <c r="BP130" s="381" t="s">
        <v>54</v>
      </c>
      <c r="BQ130" s="381" t="s">
        <v>54</v>
      </c>
      <c r="BR130" s="381" t="s">
        <v>54</v>
      </c>
      <c r="BS130" s="381" t="s">
        <v>54</v>
      </c>
      <c r="BT130" s="381" t="s">
        <v>54</v>
      </c>
      <c r="BU130" s="383" t="s">
        <v>54</v>
      </c>
      <c r="BV130" s="381" t="s">
        <v>54</v>
      </c>
      <c r="BW130" s="381" t="s">
        <v>54</v>
      </c>
      <c r="BX130" s="381" t="s">
        <v>54</v>
      </c>
      <c r="BY130" s="381" t="s">
        <v>54</v>
      </c>
      <c r="BZ130" s="381" t="s">
        <v>54</v>
      </c>
      <c r="CA130" s="381" t="s">
        <v>54</v>
      </c>
      <c r="CB130" s="381" t="s">
        <v>54</v>
      </c>
      <c r="CC130" s="381" t="s">
        <v>54</v>
      </c>
      <c r="CD130" s="381" t="s">
        <v>54</v>
      </c>
      <c r="CE130" s="383" t="s">
        <v>54</v>
      </c>
      <c r="CF130" s="381" t="s">
        <v>54</v>
      </c>
      <c r="CG130" s="381" t="s">
        <v>54</v>
      </c>
      <c r="CH130" s="381" t="s">
        <v>54</v>
      </c>
      <c r="CI130" s="383" t="s">
        <v>54</v>
      </c>
      <c r="CJ130" s="381" t="s">
        <v>54</v>
      </c>
      <c r="CK130" s="381" t="s">
        <v>54</v>
      </c>
      <c r="CL130" s="381" t="s">
        <v>54</v>
      </c>
      <c r="CM130" s="499"/>
      <c r="CN130" s="499"/>
      <c r="CO130" s="492"/>
      <c r="CP130" s="492"/>
      <c r="CQ130" s="492"/>
      <c r="CR130" s="492"/>
      <c r="CS130" s="492"/>
      <c r="CT130" s="492"/>
      <c r="CU130" s="492"/>
      <c r="CV130" s="501"/>
      <c r="CW130" s="492"/>
      <c r="CX130" s="492"/>
      <c r="CY130" s="492"/>
      <c r="CZ130" s="492"/>
      <c r="DA130" s="492"/>
      <c r="DB130" s="492"/>
      <c r="DC130" s="492"/>
      <c r="DD130" s="496"/>
      <c r="DE130" s="492"/>
      <c r="DF130" s="492"/>
      <c r="DG130" s="496"/>
      <c r="DH130" s="496"/>
      <c r="DI130" s="496"/>
      <c r="DJ130" s="496"/>
      <c r="DK130" s="496"/>
      <c r="DL130" s="496"/>
      <c r="DM130" s="382" t="s">
        <v>54</v>
      </c>
      <c r="DN130" s="537"/>
      <c r="DO130" s="381" t="s">
        <v>54</v>
      </c>
      <c r="DP130" s="385" t="s">
        <v>54</v>
      </c>
      <c r="DQ130" s="385" t="s">
        <v>54</v>
      </c>
      <c r="DR130" s="381" t="s">
        <v>54</v>
      </c>
      <c r="DS130" s="381" t="s">
        <v>54</v>
      </c>
      <c r="DT130" s="381" t="s">
        <v>54</v>
      </c>
      <c r="DU130" s="381" t="s">
        <v>54</v>
      </c>
      <c r="DV130" s="381" t="s">
        <v>54</v>
      </c>
      <c r="DW130" s="381" t="s">
        <v>54</v>
      </c>
      <c r="DX130" s="537"/>
      <c r="DY130" s="405" t="s">
        <v>54</v>
      </c>
      <c r="DZ130" s="537"/>
      <c r="EA130" s="405" t="s">
        <v>54</v>
      </c>
      <c r="EB130" s="405" t="s">
        <v>54</v>
      </c>
      <c r="EC130" s="405" t="s">
        <v>54</v>
      </c>
      <c r="ED130" s="381" t="s">
        <v>54</v>
      </c>
      <c r="EE130" s="381" t="s">
        <v>54</v>
      </c>
      <c r="EF130" s="381" t="s">
        <v>54</v>
      </c>
      <c r="EG130" s="381" t="s">
        <v>54</v>
      </c>
      <c r="EH130" s="381" t="s">
        <v>54</v>
      </c>
      <c r="EI130" s="381" t="s">
        <v>54</v>
      </c>
      <c r="EJ130" s="381" t="s">
        <v>54</v>
      </c>
      <c r="EK130" s="381" t="s">
        <v>54</v>
      </c>
      <c r="EL130" s="381" t="s">
        <v>54</v>
      </c>
      <c r="EM130" s="381" t="s">
        <v>54</v>
      </c>
      <c r="EN130" s="381" t="s">
        <v>54</v>
      </c>
      <c r="EO130" s="381" t="s">
        <v>54</v>
      </c>
      <c r="EP130" s="381" t="s">
        <v>54</v>
      </c>
      <c r="EQ130" s="381" t="s">
        <v>54</v>
      </c>
      <c r="ER130" s="381" t="s">
        <v>54</v>
      </c>
      <c r="ES130" s="381" t="s">
        <v>54</v>
      </c>
      <c r="ET130" s="381" t="s">
        <v>54</v>
      </c>
      <c r="EU130" s="381" t="s">
        <v>54</v>
      </c>
    </row>
    <row r="131" spans="1:151" s="1" customFormat="1" ht="19.899999999999999" customHeight="1">
      <c r="A131" s="493"/>
      <c r="B131" s="493"/>
      <c r="C131" s="487"/>
      <c r="D131" s="510"/>
      <c r="E131" s="507"/>
      <c r="F131" s="510"/>
      <c r="G131" s="514"/>
      <c r="H131" s="510"/>
      <c r="I131" s="510"/>
      <c r="J131" s="510"/>
      <c r="K131" s="493"/>
      <c r="L131" s="497"/>
      <c r="M131" s="493"/>
      <c r="N131" s="487"/>
      <c r="O131" s="514"/>
      <c r="P131" s="518"/>
      <c r="Q131" s="493"/>
      <c r="R131" s="381" t="s">
        <v>54</v>
      </c>
      <c r="S131" s="381" t="s">
        <v>54</v>
      </c>
      <c r="T131" s="381" t="s">
        <v>54</v>
      </c>
      <c r="U131" s="381" t="s">
        <v>54</v>
      </c>
      <c r="V131" s="381" t="s">
        <v>54</v>
      </c>
      <c r="W131" s="381" t="s">
        <v>54</v>
      </c>
      <c r="X131" s="490"/>
      <c r="Y131" s="381" t="s">
        <v>54</v>
      </c>
      <c r="Z131" s="521"/>
      <c r="AA131" s="381" t="s">
        <v>54</v>
      </c>
      <c r="AB131" s="493"/>
      <c r="AC131" s="381" t="s">
        <v>54</v>
      </c>
      <c r="AD131" s="493"/>
      <c r="AE131" s="381" t="s">
        <v>54</v>
      </c>
      <c r="AF131" s="381" t="s">
        <v>54</v>
      </c>
      <c r="AG131" s="381" t="s">
        <v>54</v>
      </c>
      <c r="AH131" s="381" t="s">
        <v>54</v>
      </c>
      <c r="AI131" s="381" t="s">
        <v>54</v>
      </c>
      <c r="AJ131" s="484"/>
      <c r="AK131" s="484"/>
      <c r="AL131" s="484"/>
      <c r="AM131" s="484"/>
      <c r="AN131" s="484"/>
      <c r="AO131" s="484"/>
      <c r="AP131" s="381" t="s">
        <v>54</v>
      </c>
      <c r="AQ131" s="487"/>
      <c r="AR131" s="381" t="s">
        <v>54</v>
      </c>
      <c r="AS131" s="385" t="s">
        <v>54</v>
      </c>
      <c r="AT131" s="385" t="s">
        <v>54</v>
      </c>
      <c r="AU131" s="381" t="s">
        <v>54</v>
      </c>
      <c r="AV131" s="381" t="s">
        <v>54</v>
      </c>
      <c r="AW131" s="381" t="s">
        <v>54</v>
      </c>
      <c r="AX131" s="381" t="s">
        <v>54</v>
      </c>
      <c r="AY131" s="386" t="s">
        <v>54</v>
      </c>
      <c r="AZ131" s="397" t="s">
        <v>54</v>
      </c>
      <c r="BA131" s="490"/>
      <c r="BB131" s="397" t="s">
        <v>54</v>
      </c>
      <c r="BC131" s="490"/>
      <c r="BD131" s="397" t="s">
        <v>54</v>
      </c>
      <c r="BE131" s="397" t="s">
        <v>54</v>
      </c>
      <c r="BF131" s="397" t="s">
        <v>54</v>
      </c>
      <c r="BG131" s="381" t="s">
        <v>54</v>
      </c>
      <c r="BH131" s="381" t="s">
        <v>54</v>
      </c>
      <c r="BI131" s="381" t="s">
        <v>54</v>
      </c>
      <c r="BJ131" s="381" t="s">
        <v>54</v>
      </c>
      <c r="BK131" s="381" t="s">
        <v>54</v>
      </c>
      <c r="BL131" s="381" t="s">
        <v>54</v>
      </c>
      <c r="BM131" s="381" t="s">
        <v>54</v>
      </c>
      <c r="BN131" s="381" t="s">
        <v>54</v>
      </c>
      <c r="BO131" s="381" t="s">
        <v>54</v>
      </c>
      <c r="BP131" s="381" t="s">
        <v>54</v>
      </c>
      <c r="BQ131" s="381" t="s">
        <v>54</v>
      </c>
      <c r="BR131" s="381" t="s">
        <v>54</v>
      </c>
      <c r="BS131" s="381" t="s">
        <v>54</v>
      </c>
      <c r="BT131" s="381" t="s">
        <v>54</v>
      </c>
      <c r="BU131" s="383" t="s">
        <v>54</v>
      </c>
      <c r="BV131" s="381" t="s">
        <v>54</v>
      </c>
      <c r="BW131" s="381" t="s">
        <v>54</v>
      </c>
      <c r="BX131" s="381" t="s">
        <v>54</v>
      </c>
      <c r="BY131" s="381" t="s">
        <v>54</v>
      </c>
      <c r="BZ131" s="381" t="s">
        <v>54</v>
      </c>
      <c r="CA131" s="381" t="s">
        <v>54</v>
      </c>
      <c r="CB131" s="381" t="s">
        <v>54</v>
      </c>
      <c r="CC131" s="381" t="s">
        <v>54</v>
      </c>
      <c r="CD131" s="381" t="s">
        <v>54</v>
      </c>
      <c r="CE131" s="383" t="s">
        <v>54</v>
      </c>
      <c r="CF131" s="381" t="s">
        <v>54</v>
      </c>
      <c r="CG131" s="381" t="s">
        <v>54</v>
      </c>
      <c r="CH131" s="381" t="s">
        <v>54</v>
      </c>
      <c r="CI131" s="383" t="s">
        <v>54</v>
      </c>
      <c r="CJ131" s="381" t="s">
        <v>54</v>
      </c>
      <c r="CK131" s="381" t="s">
        <v>54</v>
      </c>
      <c r="CL131" s="381" t="s">
        <v>54</v>
      </c>
      <c r="CM131" s="499"/>
      <c r="CN131" s="499"/>
      <c r="CO131" s="493"/>
      <c r="CP131" s="493"/>
      <c r="CQ131" s="493"/>
      <c r="CR131" s="493"/>
      <c r="CS131" s="493"/>
      <c r="CT131" s="493"/>
      <c r="CU131" s="493"/>
      <c r="CV131" s="501"/>
      <c r="CW131" s="493"/>
      <c r="CX131" s="493"/>
      <c r="CY131" s="493"/>
      <c r="CZ131" s="493"/>
      <c r="DA131" s="493"/>
      <c r="DB131" s="493"/>
      <c r="DC131" s="493"/>
      <c r="DD131" s="497"/>
      <c r="DE131" s="493"/>
      <c r="DF131" s="493"/>
      <c r="DG131" s="497"/>
      <c r="DH131" s="497"/>
      <c r="DI131" s="497"/>
      <c r="DJ131" s="497"/>
      <c r="DK131" s="497"/>
      <c r="DL131" s="497"/>
      <c r="DM131" s="382" t="s">
        <v>54</v>
      </c>
      <c r="DN131" s="537"/>
      <c r="DO131" s="381" t="s">
        <v>54</v>
      </c>
      <c r="DP131" s="385" t="s">
        <v>54</v>
      </c>
      <c r="DQ131" s="385" t="s">
        <v>54</v>
      </c>
      <c r="DR131" s="381" t="s">
        <v>54</v>
      </c>
      <c r="DS131" s="381" t="s">
        <v>54</v>
      </c>
      <c r="DT131" s="381" t="s">
        <v>54</v>
      </c>
      <c r="DU131" s="381" t="s">
        <v>54</v>
      </c>
      <c r="DV131" s="381" t="s">
        <v>54</v>
      </c>
      <c r="DW131" s="381" t="s">
        <v>54</v>
      </c>
      <c r="DX131" s="537"/>
      <c r="DY131" s="405" t="s">
        <v>54</v>
      </c>
      <c r="DZ131" s="537"/>
      <c r="EA131" s="405" t="s">
        <v>54</v>
      </c>
      <c r="EB131" s="405" t="s">
        <v>54</v>
      </c>
      <c r="EC131" s="405" t="s">
        <v>54</v>
      </c>
      <c r="ED131" s="381" t="s">
        <v>54</v>
      </c>
      <c r="EE131" s="381" t="s">
        <v>54</v>
      </c>
      <c r="EF131" s="381" t="s">
        <v>54</v>
      </c>
      <c r="EG131" s="381" t="s">
        <v>54</v>
      </c>
      <c r="EH131" s="381" t="s">
        <v>54</v>
      </c>
      <c r="EI131" s="381" t="s">
        <v>54</v>
      </c>
      <c r="EJ131" s="381" t="s">
        <v>54</v>
      </c>
      <c r="EK131" s="381" t="s">
        <v>54</v>
      </c>
      <c r="EL131" s="381" t="s">
        <v>54</v>
      </c>
      <c r="EM131" s="381" t="s">
        <v>54</v>
      </c>
      <c r="EN131" s="381" t="s">
        <v>54</v>
      </c>
      <c r="EO131" s="381" t="s">
        <v>54</v>
      </c>
      <c r="EP131" s="381" t="s">
        <v>54</v>
      </c>
      <c r="EQ131" s="381" t="s">
        <v>54</v>
      </c>
      <c r="ER131" s="381" t="s">
        <v>54</v>
      </c>
      <c r="ES131" s="381" t="s">
        <v>54</v>
      </c>
      <c r="ET131" s="381" t="s">
        <v>54</v>
      </c>
      <c r="EU131" s="381" t="s">
        <v>54</v>
      </c>
    </row>
    <row r="132" spans="1:151" s="1" customFormat="1" ht="19.899999999999999" customHeight="1">
      <c r="A132" s="494"/>
      <c r="B132" s="494"/>
      <c r="C132" s="488"/>
      <c r="D132" s="511"/>
      <c r="E132" s="508"/>
      <c r="F132" s="511"/>
      <c r="G132" s="515"/>
      <c r="H132" s="511"/>
      <c r="I132" s="511"/>
      <c r="J132" s="511"/>
      <c r="K132" s="494"/>
      <c r="L132" s="498"/>
      <c r="M132" s="494"/>
      <c r="N132" s="488"/>
      <c r="O132" s="515"/>
      <c r="P132" s="519"/>
      <c r="Q132" s="494"/>
      <c r="R132" s="381" t="s">
        <v>54</v>
      </c>
      <c r="S132" s="381" t="s">
        <v>54</v>
      </c>
      <c r="T132" s="381" t="s">
        <v>54</v>
      </c>
      <c r="U132" s="381" t="s">
        <v>54</v>
      </c>
      <c r="V132" s="381" t="s">
        <v>54</v>
      </c>
      <c r="W132" s="381" t="s">
        <v>54</v>
      </c>
      <c r="X132" s="490"/>
      <c r="Y132" s="381" t="s">
        <v>54</v>
      </c>
      <c r="Z132" s="521"/>
      <c r="AA132" s="381" t="s">
        <v>54</v>
      </c>
      <c r="AB132" s="494"/>
      <c r="AC132" s="381" t="s">
        <v>54</v>
      </c>
      <c r="AD132" s="494"/>
      <c r="AE132" s="381" t="s">
        <v>54</v>
      </c>
      <c r="AF132" s="381" t="s">
        <v>54</v>
      </c>
      <c r="AG132" s="381" t="s">
        <v>54</v>
      </c>
      <c r="AH132" s="381" t="s">
        <v>54</v>
      </c>
      <c r="AI132" s="381" t="s">
        <v>54</v>
      </c>
      <c r="AJ132" s="485"/>
      <c r="AK132" s="485"/>
      <c r="AL132" s="485"/>
      <c r="AM132" s="485"/>
      <c r="AN132" s="485"/>
      <c r="AO132" s="485"/>
      <c r="AP132" s="381" t="s">
        <v>54</v>
      </c>
      <c r="AQ132" s="488"/>
      <c r="AR132" s="381" t="s">
        <v>54</v>
      </c>
      <c r="AS132" s="385" t="s">
        <v>54</v>
      </c>
      <c r="AT132" s="385" t="s">
        <v>54</v>
      </c>
      <c r="AU132" s="381" t="s">
        <v>54</v>
      </c>
      <c r="AV132" s="381" t="s">
        <v>54</v>
      </c>
      <c r="AW132" s="381" t="s">
        <v>54</v>
      </c>
      <c r="AX132" s="381" t="s">
        <v>54</v>
      </c>
      <c r="AY132" s="386" t="s">
        <v>54</v>
      </c>
      <c r="AZ132" s="397" t="s">
        <v>54</v>
      </c>
      <c r="BA132" s="490"/>
      <c r="BB132" s="397" t="s">
        <v>54</v>
      </c>
      <c r="BC132" s="490"/>
      <c r="BD132" s="397" t="s">
        <v>54</v>
      </c>
      <c r="BE132" s="397" t="s">
        <v>54</v>
      </c>
      <c r="BF132" s="397" t="s">
        <v>54</v>
      </c>
      <c r="BG132" s="381" t="s">
        <v>54</v>
      </c>
      <c r="BH132" s="381" t="s">
        <v>54</v>
      </c>
      <c r="BI132" s="381" t="s">
        <v>54</v>
      </c>
      <c r="BJ132" s="381" t="s">
        <v>54</v>
      </c>
      <c r="BK132" s="381" t="s">
        <v>54</v>
      </c>
      <c r="BL132" s="381" t="s">
        <v>54</v>
      </c>
      <c r="BM132" s="381" t="s">
        <v>54</v>
      </c>
      <c r="BN132" s="381" t="s">
        <v>54</v>
      </c>
      <c r="BO132" s="381" t="s">
        <v>54</v>
      </c>
      <c r="BP132" s="381" t="s">
        <v>54</v>
      </c>
      <c r="BQ132" s="381" t="s">
        <v>54</v>
      </c>
      <c r="BR132" s="381" t="s">
        <v>54</v>
      </c>
      <c r="BS132" s="381" t="s">
        <v>54</v>
      </c>
      <c r="BT132" s="381" t="s">
        <v>54</v>
      </c>
      <c r="BU132" s="383" t="s">
        <v>54</v>
      </c>
      <c r="BV132" s="381" t="s">
        <v>54</v>
      </c>
      <c r="BW132" s="381" t="s">
        <v>54</v>
      </c>
      <c r="BX132" s="381" t="s">
        <v>54</v>
      </c>
      <c r="BY132" s="381" t="s">
        <v>54</v>
      </c>
      <c r="BZ132" s="381" t="s">
        <v>54</v>
      </c>
      <c r="CA132" s="381" t="s">
        <v>54</v>
      </c>
      <c r="CB132" s="381" t="s">
        <v>54</v>
      </c>
      <c r="CC132" s="381" t="s">
        <v>54</v>
      </c>
      <c r="CD132" s="381" t="s">
        <v>54</v>
      </c>
      <c r="CE132" s="383" t="s">
        <v>54</v>
      </c>
      <c r="CF132" s="381" t="s">
        <v>54</v>
      </c>
      <c r="CG132" s="381" t="s">
        <v>54</v>
      </c>
      <c r="CH132" s="381" t="s">
        <v>54</v>
      </c>
      <c r="CI132" s="383" t="s">
        <v>54</v>
      </c>
      <c r="CJ132" s="381" t="s">
        <v>54</v>
      </c>
      <c r="CK132" s="381" t="s">
        <v>54</v>
      </c>
      <c r="CL132" s="381" t="s">
        <v>54</v>
      </c>
      <c r="CM132" s="500"/>
      <c r="CN132" s="500"/>
      <c r="CO132" s="494"/>
      <c r="CP132" s="494"/>
      <c r="CQ132" s="494"/>
      <c r="CR132" s="494"/>
      <c r="CS132" s="494"/>
      <c r="CT132" s="494"/>
      <c r="CU132" s="494"/>
      <c r="CV132" s="501"/>
      <c r="CW132" s="494"/>
      <c r="CX132" s="494"/>
      <c r="CY132" s="494"/>
      <c r="CZ132" s="494"/>
      <c r="DA132" s="494"/>
      <c r="DB132" s="494"/>
      <c r="DC132" s="494"/>
      <c r="DD132" s="498"/>
      <c r="DE132" s="494"/>
      <c r="DF132" s="494"/>
      <c r="DG132" s="498"/>
      <c r="DH132" s="498"/>
      <c r="DI132" s="498"/>
      <c r="DJ132" s="498"/>
      <c r="DK132" s="498"/>
      <c r="DL132" s="498"/>
      <c r="DM132" s="382" t="s">
        <v>54</v>
      </c>
      <c r="DN132" s="537"/>
      <c r="DO132" s="381" t="s">
        <v>54</v>
      </c>
      <c r="DP132" s="385" t="s">
        <v>54</v>
      </c>
      <c r="DQ132" s="385" t="s">
        <v>54</v>
      </c>
      <c r="DR132" s="381" t="s">
        <v>54</v>
      </c>
      <c r="DS132" s="381" t="s">
        <v>54</v>
      </c>
      <c r="DT132" s="381" t="s">
        <v>54</v>
      </c>
      <c r="DU132" s="381" t="s">
        <v>54</v>
      </c>
      <c r="DV132" s="381" t="s">
        <v>54</v>
      </c>
      <c r="DW132" s="381" t="s">
        <v>54</v>
      </c>
      <c r="DX132" s="537"/>
      <c r="DY132" s="405" t="s">
        <v>54</v>
      </c>
      <c r="DZ132" s="537"/>
      <c r="EA132" s="405" t="s">
        <v>54</v>
      </c>
      <c r="EB132" s="405" t="s">
        <v>54</v>
      </c>
      <c r="EC132" s="405" t="s">
        <v>54</v>
      </c>
      <c r="ED132" s="381" t="s">
        <v>54</v>
      </c>
      <c r="EE132" s="381" t="s">
        <v>54</v>
      </c>
      <c r="EF132" s="381" t="s">
        <v>54</v>
      </c>
      <c r="EG132" s="381" t="s">
        <v>54</v>
      </c>
      <c r="EH132" s="381" t="s">
        <v>54</v>
      </c>
      <c r="EI132" s="381" t="s">
        <v>54</v>
      </c>
      <c r="EJ132" s="381" t="s">
        <v>54</v>
      </c>
      <c r="EK132" s="381" t="s">
        <v>54</v>
      </c>
      <c r="EL132" s="381" t="s">
        <v>54</v>
      </c>
      <c r="EM132" s="381" t="s">
        <v>54</v>
      </c>
      <c r="EN132" s="381" t="s">
        <v>54</v>
      </c>
      <c r="EO132" s="381" t="s">
        <v>54</v>
      </c>
      <c r="EP132" s="381" t="s">
        <v>54</v>
      </c>
      <c r="EQ132" s="381" t="s">
        <v>54</v>
      </c>
      <c r="ER132" s="381" t="s">
        <v>54</v>
      </c>
      <c r="ES132" s="381" t="s">
        <v>54</v>
      </c>
      <c r="ET132" s="381" t="s">
        <v>54</v>
      </c>
      <c r="EU132" s="381" t="s">
        <v>54</v>
      </c>
    </row>
    <row r="133" spans="1:151" s="1" customFormat="1" ht="19.899999999999999" customHeight="1">
      <c r="A133" s="491">
        <v>17</v>
      </c>
      <c r="B133" s="491">
        <v>17</v>
      </c>
      <c r="C133" s="486" t="s">
        <v>2797</v>
      </c>
      <c r="D133" s="491" t="s">
        <v>3033</v>
      </c>
      <c r="E133" s="495" t="s">
        <v>2924</v>
      </c>
      <c r="F133" s="491" t="s">
        <v>3066</v>
      </c>
      <c r="G133" s="512" t="s">
        <v>3050</v>
      </c>
      <c r="H133" s="491" t="s">
        <v>2996</v>
      </c>
      <c r="I133" s="491" t="s">
        <v>3067</v>
      </c>
      <c r="J133" s="491" t="s">
        <v>52</v>
      </c>
      <c r="K133" s="516" t="s">
        <v>3132</v>
      </c>
      <c r="L133" s="495" t="s">
        <v>3133</v>
      </c>
      <c r="M133" s="491" t="s">
        <v>3034</v>
      </c>
      <c r="N133" s="486" t="s">
        <v>3133</v>
      </c>
      <c r="O133" s="512" t="s">
        <v>3051</v>
      </c>
      <c r="P133" s="517" t="s">
        <v>2923</v>
      </c>
      <c r="Q133" s="491">
        <v>1</v>
      </c>
      <c r="R133" s="381" t="s">
        <v>52</v>
      </c>
      <c r="S133" s="381" t="s">
        <v>52</v>
      </c>
      <c r="T133" s="381" t="s">
        <v>52</v>
      </c>
      <c r="U133" s="381" t="s">
        <v>52</v>
      </c>
      <c r="V133" s="381" t="s">
        <v>52</v>
      </c>
      <c r="W133" s="381" t="s">
        <v>52</v>
      </c>
      <c r="X133" s="489">
        <v>1518</v>
      </c>
      <c r="Y133" s="381" t="s">
        <v>52</v>
      </c>
      <c r="Z133" s="520" t="s">
        <v>52</v>
      </c>
      <c r="AA133" s="381" t="s">
        <v>52</v>
      </c>
      <c r="AB133" s="491">
        <f t="shared" ref="AB133" si="18">X133</f>
        <v>1518</v>
      </c>
      <c r="AC133" s="381" t="s">
        <v>52</v>
      </c>
      <c r="AD133" s="491" t="s">
        <v>52</v>
      </c>
      <c r="AE133" s="381" t="s">
        <v>52</v>
      </c>
      <c r="AF133" s="381" t="s">
        <v>52</v>
      </c>
      <c r="AG133" s="381" t="s">
        <v>52</v>
      </c>
      <c r="AH133" s="381" t="s">
        <v>52</v>
      </c>
      <c r="AI133" s="381" t="s">
        <v>52</v>
      </c>
      <c r="AJ133" s="483" t="s">
        <v>54</v>
      </c>
      <c r="AK133" s="483" t="s">
        <v>54</v>
      </c>
      <c r="AL133" s="483" t="s">
        <v>54</v>
      </c>
      <c r="AM133" s="483" t="s">
        <v>54</v>
      </c>
      <c r="AN133" s="483" t="s">
        <v>54</v>
      </c>
      <c r="AO133" s="483" t="s">
        <v>54</v>
      </c>
      <c r="AP133" s="381" t="s">
        <v>54</v>
      </c>
      <c r="AQ133" s="486" t="s">
        <v>54</v>
      </c>
      <c r="AR133" s="381" t="s">
        <v>54</v>
      </c>
      <c r="AS133" s="385" t="s">
        <v>54</v>
      </c>
      <c r="AT133" s="385" t="s">
        <v>54</v>
      </c>
      <c r="AU133" s="381" t="s">
        <v>54</v>
      </c>
      <c r="AV133" s="381" t="s">
        <v>54</v>
      </c>
      <c r="AW133" s="381" t="s">
        <v>54</v>
      </c>
      <c r="AX133" s="381" t="s">
        <v>54</v>
      </c>
      <c r="AY133" s="386" t="s">
        <v>54</v>
      </c>
      <c r="AZ133" s="397" t="s">
        <v>54</v>
      </c>
      <c r="BA133" s="489" t="s">
        <v>54</v>
      </c>
      <c r="BB133" s="397" t="s">
        <v>54</v>
      </c>
      <c r="BC133" s="489" t="s">
        <v>54</v>
      </c>
      <c r="BD133" s="397" t="s">
        <v>54</v>
      </c>
      <c r="BE133" s="397" t="s">
        <v>54</v>
      </c>
      <c r="BF133" s="397" t="s">
        <v>54</v>
      </c>
      <c r="BG133" s="381" t="s">
        <v>54</v>
      </c>
      <c r="BH133" s="381" t="s">
        <v>54</v>
      </c>
      <c r="BI133" s="381" t="s">
        <v>54</v>
      </c>
      <c r="BJ133" s="381" t="s">
        <v>54</v>
      </c>
      <c r="BK133" s="381" t="s">
        <v>54</v>
      </c>
      <c r="BL133" s="381" t="s">
        <v>54</v>
      </c>
      <c r="BM133" s="381" t="s">
        <v>54</v>
      </c>
      <c r="BN133" s="381" t="s">
        <v>54</v>
      </c>
      <c r="BO133" s="381" t="s">
        <v>54</v>
      </c>
      <c r="BP133" s="381" t="s">
        <v>54</v>
      </c>
      <c r="BQ133" s="381" t="s">
        <v>54</v>
      </c>
      <c r="BR133" s="381" t="s">
        <v>54</v>
      </c>
      <c r="BS133" s="381" t="s">
        <v>54</v>
      </c>
      <c r="BT133" s="381" t="s">
        <v>54</v>
      </c>
      <c r="BU133" s="383" t="s">
        <v>54</v>
      </c>
      <c r="BV133" s="381" t="s">
        <v>54</v>
      </c>
      <c r="BW133" s="381" t="s">
        <v>54</v>
      </c>
      <c r="BX133" s="381" t="s">
        <v>54</v>
      </c>
      <c r="BY133" s="381" t="s">
        <v>54</v>
      </c>
      <c r="BZ133" s="381" t="s">
        <v>54</v>
      </c>
      <c r="CA133" s="381" t="s">
        <v>54</v>
      </c>
      <c r="CB133" s="381" t="s">
        <v>54</v>
      </c>
      <c r="CC133" s="381" t="s">
        <v>54</v>
      </c>
      <c r="CD133" s="381" t="s">
        <v>54</v>
      </c>
      <c r="CE133" s="383" t="s">
        <v>54</v>
      </c>
      <c r="CF133" s="381" t="s">
        <v>54</v>
      </c>
      <c r="CG133" s="381" t="s">
        <v>54</v>
      </c>
      <c r="CH133" s="381" t="s">
        <v>54</v>
      </c>
      <c r="CI133" s="383" t="s">
        <v>54</v>
      </c>
      <c r="CJ133" s="381" t="s">
        <v>54</v>
      </c>
      <c r="CK133" s="381" t="s">
        <v>54</v>
      </c>
      <c r="CL133" s="381" t="s">
        <v>54</v>
      </c>
      <c r="CM133" s="483" t="s">
        <v>54</v>
      </c>
      <c r="CN133" s="483" t="s">
        <v>54</v>
      </c>
      <c r="CO133" s="491" t="s">
        <v>54</v>
      </c>
      <c r="CP133" s="491" t="s">
        <v>54</v>
      </c>
      <c r="CQ133" s="491" t="s">
        <v>54</v>
      </c>
      <c r="CR133" s="491" t="s">
        <v>54</v>
      </c>
      <c r="CS133" s="491" t="s">
        <v>54</v>
      </c>
      <c r="CT133" s="491" t="s">
        <v>2026</v>
      </c>
      <c r="CU133" s="491">
        <v>2019</v>
      </c>
      <c r="CV133" s="501" t="s">
        <v>2864</v>
      </c>
      <c r="CW133" s="491" t="s">
        <v>1975</v>
      </c>
      <c r="CX133" s="491" t="s">
        <v>54</v>
      </c>
      <c r="CY133" s="491" t="s">
        <v>54</v>
      </c>
      <c r="CZ133" s="491" t="s">
        <v>54</v>
      </c>
      <c r="DA133" s="491" t="s">
        <v>54</v>
      </c>
      <c r="DB133" s="491" t="s">
        <v>54</v>
      </c>
      <c r="DC133" s="491" t="s">
        <v>3015</v>
      </c>
      <c r="DD133" s="495" t="s">
        <v>3099</v>
      </c>
      <c r="DE133" s="491" t="s">
        <v>3016</v>
      </c>
      <c r="DF133" s="491" t="s">
        <v>52</v>
      </c>
      <c r="DG133" s="495" t="s">
        <v>54</v>
      </c>
      <c r="DH133" s="495" t="s">
        <v>54</v>
      </c>
      <c r="DI133" s="495" t="s">
        <v>54</v>
      </c>
      <c r="DJ133" s="495" t="s">
        <v>54</v>
      </c>
      <c r="DK133" s="495" t="s">
        <v>54</v>
      </c>
      <c r="DL133" s="495" t="s">
        <v>54</v>
      </c>
      <c r="DM133" s="382" t="s">
        <v>54</v>
      </c>
      <c r="DN133" s="536" t="s">
        <v>54</v>
      </c>
      <c r="DO133" s="381" t="s">
        <v>54</v>
      </c>
      <c r="DP133" s="385" t="s">
        <v>54</v>
      </c>
      <c r="DQ133" s="385" t="s">
        <v>54</v>
      </c>
      <c r="DR133" s="381" t="s">
        <v>54</v>
      </c>
      <c r="DS133" s="381" t="s">
        <v>54</v>
      </c>
      <c r="DT133" s="381" t="s">
        <v>54</v>
      </c>
      <c r="DU133" s="381" t="s">
        <v>54</v>
      </c>
      <c r="DV133" s="381" t="s">
        <v>54</v>
      </c>
      <c r="DW133" s="381" t="s">
        <v>54</v>
      </c>
      <c r="DX133" s="536" t="s">
        <v>54</v>
      </c>
      <c r="DY133" s="405" t="s">
        <v>54</v>
      </c>
      <c r="DZ133" s="536" t="s">
        <v>54</v>
      </c>
      <c r="EA133" s="405" t="s">
        <v>54</v>
      </c>
      <c r="EB133" s="405" t="s">
        <v>54</v>
      </c>
      <c r="EC133" s="405" t="s">
        <v>54</v>
      </c>
      <c r="ED133" s="381" t="s">
        <v>54</v>
      </c>
      <c r="EE133" s="381" t="s">
        <v>54</v>
      </c>
      <c r="EF133" s="381" t="s">
        <v>54</v>
      </c>
      <c r="EG133" s="381" t="s">
        <v>54</v>
      </c>
      <c r="EH133" s="381" t="s">
        <v>54</v>
      </c>
      <c r="EI133" s="381" t="s">
        <v>54</v>
      </c>
      <c r="EJ133" s="381" t="s">
        <v>54</v>
      </c>
      <c r="EK133" s="381" t="s">
        <v>54</v>
      </c>
      <c r="EL133" s="381" t="s">
        <v>54</v>
      </c>
      <c r="EM133" s="381" t="s">
        <v>54</v>
      </c>
      <c r="EN133" s="381" t="s">
        <v>54</v>
      </c>
      <c r="EO133" s="381" t="s">
        <v>54</v>
      </c>
      <c r="EP133" s="381" t="s">
        <v>54</v>
      </c>
      <c r="EQ133" s="381" t="s">
        <v>54</v>
      </c>
      <c r="ER133" s="381" t="s">
        <v>54</v>
      </c>
      <c r="ES133" s="381" t="s">
        <v>54</v>
      </c>
      <c r="ET133" s="381" t="s">
        <v>54</v>
      </c>
      <c r="EU133" s="381" t="s">
        <v>54</v>
      </c>
    </row>
    <row r="134" spans="1:151" s="1" customFormat="1" ht="19.899999999999999" customHeight="1">
      <c r="A134" s="492"/>
      <c r="B134" s="492"/>
      <c r="C134" s="487"/>
      <c r="D134" s="509"/>
      <c r="E134" s="506"/>
      <c r="F134" s="509"/>
      <c r="G134" s="513"/>
      <c r="H134" s="509"/>
      <c r="I134" s="509"/>
      <c r="J134" s="509"/>
      <c r="K134" s="492"/>
      <c r="L134" s="496"/>
      <c r="M134" s="492"/>
      <c r="N134" s="487"/>
      <c r="O134" s="513"/>
      <c r="P134" s="518"/>
      <c r="Q134" s="492"/>
      <c r="R134" s="381" t="s">
        <v>54</v>
      </c>
      <c r="S134" s="381" t="s">
        <v>54</v>
      </c>
      <c r="T134" s="381" t="s">
        <v>54</v>
      </c>
      <c r="U134" s="381" t="s">
        <v>54</v>
      </c>
      <c r="V134" s="381" t="s">
        <v>54</v>
      </c>
      <c r="W134" s="381" t="s">
        <v>54</v>
      </c>
      <c r="X134" s="490"/>
      <c r="Y134" s="381" t="s">
        <v>54</v>
      </c>
      <c r="Z134" s="521"/>
      <c r="AA134" s="381" t="s">
        <v>54</v>
      </c>
      <c r="AB134" s="492"/>
      <c r="AC134" s="381" t="s">
        <v>54</v>
      </c>
      <c r="AD134" s="492"/>
      <c r="AE134" s="381" t="s">
        <v>54</v>
      </c>
      <c r="AF134" s="381" t="s">
        <v>54</v>
      </c>
      <c r="AG134" s="381" t="s">
        <v>54</v>
      </c>
      <c r="AH134" s="381" t="s">
        <v>54</v>
      </c>
      <c r="AI134" s="381" t="s">
        <v>54</v>
      </c>
      <c r="AJ134" s="484"/>
      <c r="AK134" s="484"/>
      <c r="AL134" s="484"/>
      <c r="AM134" s="484"/>
      <c r="AN134" s="484"/>
      <c r="AO134" s="484"/>
      <c r="AP134" s="381" t="s">
        <v>54</v>
      </c>
      <c r="AQ134" s="487"/>
      <c r="AR134" s="381" t="s">
        <v>54</v>
      </c>
      <c r="AS134" s="385" t="s">
        <v>54</v>
      </c>
      <c r="AT134" s="385" t="s">
        <v>54</v>
      </c>
      <c r="AU134" s="381" t="s">
        <v>54</v>
      </c>
      <c r="AV134" s="381" t="s">
        <v>54</v>
      </c>
      <c r="AW134" s="381" t="s">
        <v>54</v>
      </c>
      <c r="AX134" s="381" t="s">
        <v>54</v>
      </c>
      <c r="AY134" s="386" t="s">
        <v>54</v>
      </c>
      <c r="AZ134" s="397" t="s">
        <v>54</v>
      </c>
      <c r="BA134" s="490"/>
      <c r="BB134" s="397" t="s">
        <v>54</v>
      </c>
      <c r="BC134" s="490"/>
      <c r="BD134" s="397" t="s">
        <v>54</v>
      </c>
      <c r="BE134" s="397" t="s">
        <v>54</v>
      </c>
      <c r="BF134" s="397" t="s">
        <v>54</v>
      </c>
      <c r="BG134" s="381" t="s">
        <v>54</v>
      </c>
      <c r="BH134" s="381" t="s">
        <v>54</v>
      </c>
      <c r="BI134" s="381" t="s">
        <v>54</v>
      </c>
      <c r="BJ134" s="381" t="s">
        <v>54</v>
      </c>
      <c r="BK134" s="381" t="s">
        <v>54</v>
      </c>
      <c r="BL134" s="381" t="s">
        <v>54</v>
      </c>
      <c r="BM134" s="381" t="s">
        <v>54</v>
      </c>
      <c r="BN134" s="381" t="s">
        <v>54</v>
      </c>
      <c r="BO134" s="381" t="s">
        <v>54</v>
      </c>
      <c r="BP134" s="381" t="s">
        <v>54</v>
      </c>
      <c r="BQ134" s="381" t="s">
        <v>54</v>
      </c>
      <c r="BR134" s="381" t="s">
        <v>54</v>
      </c>
      <c r="BS134" s="381" t="s">
        <v>54</v>
      </c>
      <c r="BT134" s="381" t="s">
        <v>54</v>
      </c>
      <c r="BU134" s="383" t="s">
        <v>54</v>
      </c>
      <c r="BV134" s="381" t="s">
        <v>54</v>
      </c>
      <c r="BW134" s="381" t="s">
        <v>54</v>
      </c>
      <c r="BX134" s="381" t="s">
        <v>54</v>
      </c>
      <c r="BY134" s="381" t="s">
        <v>54</v>
      </c>
      <c r="BZ134" s="381" t="s">
        <v>54</v>
      </c>
      <c r="CA134" s="381" t="s">
        <v>54</v>
      </c>
      <c r="CB134" s="381" t="s">
        <v>54</v>
      </c>
      <c r="CC134" s="381" t="s">
        <v>54</v>
      </c>
      <c r="CD134" s="381" t="s">
        <v>54</v>
      </c>
      <c r="CE134" s="383" t="s">
        <v>54</v>
      </c>
      <c r="CF134" s="381" t="s">
        <v>54</v>
      </c>
      <c r="CG134" s="381" t="s">
        <v>54</v>
      </c>
      <c r="CH134" s="381" t="s">
        <v>54</v>
      </c>
      <c r="CI134" s="383" t="s">
        <v>54</v>
      </c>
      <c r="CJ134" s="381" t="s">
        <v>54</v>
      </c>
      <c r="CK134" s="381" t="s">
        <v>54</v>
      </c>
      <c r="CL134" s="381" t="s">
        <v>54</v>
      </c>
      <c r="CM134" s="499"/>
      <c r="CN134" s="499"/>
      <c r="CO134" s="492"/>
      <c r="CP134" s="492"/>
      <c r="CQ134" s="492"/>
      <c r="CR134" s="492"/>
      <c r="CS134" s="492"/>
      <c r="CT134" s="492"/>
      <c r="CU134" s="492"/>
      <c r="CV134" s="501"/>
      <c r="CW134" s="492"/>
      <c r="CX134" s="492"/>
      <c r="CY134" s="492"/>
      <c r="CZ134" s="492"/>
      <c r="DA134" s="492"/>
      <c r="DB134" s="492"/>
      <c r="DC134" s="492"/>
      <c r="DD134" s="496"/>
      <c r="DE134" s="492"/>
      <c r="DF134" s="492"/>
      <c r="DG134" s="496"/>
      <c r="DH134" s="496"/>
      <c r="DI134" s="496"/>
      <c r="DJ134" s="496"/>
      <c r="DK134" s="496"/>
      <c r="DL134" s="496"/>
      <c r="DM134" s="382" t="s">
        <v>54</v>
      </c>
      <c r="DN134" s="537"/>
      <c r="DO134" s="381" t="s">
        <v>54</v>
      </c>
      <c r="DP134" s="385" t="s">
        <v>54</v>
      </c>
      <c r="DQ134" s="385" t="s">
        <v>54</v>
      </c>
      <c r="DR134" s="381" t="s">
        <v>54</v>
      </c>
      <c r="DS134" s="381" t="s">
        <v>54</v>
      </c>
      <c r="DT134" s="381" t="s">
        <v>54</v>
      </c>
      <c r="DU134" s="381" t="s">
        <v>54</v>
      </c>
      <c r="DV134" s="381" t="s">
        <v>54</v>
      </c>
      <c r="DW134" s="381" t="s">
        <v>54</v>
      </c>
      <c r="DX134" s="537"/>
      <c r="DY134" s="405" t="s">
        <v>54</v>
      </c>
      <c r="DZ134" s="537"/>
      <c r="EA134" s="405" t="s">
        <v>54</v>
      </c>
      <c r="EB134" s="405" t="s">
        <v>54</v>
      </c>
      <c r="EC134" s="405" t="s">
        <v>54</v>
      </c>
      <c r="ED134" s="381" t="s">
        <v>54</v>
      </c>
      <c r="EE134" s="381" t="s">
        <v>54</v>
      </c>
      <c r="EF134" s="381" t="s">
        <v>54</v>
      </c>
      <c r="EG134" s="381" t="s">
        <v>54</v>
      </c>
      <c r="EH134" s="381" t="s">
        <v>54</v>
      </c>
      <c r="EI134" s="381" t="s">
        <v>54</v>
      </c>
      <c r="EJ134" s="381" t="s">
        <v>54</v>
      </c>
      <c r="EK134" s="381" t="s">
        <v>54</v>
      </c>
      <c r="EL134" s="381" t="s">
        <v>54</v>
      </c>
      <c r="EM134" s="381" t="s">
        <v>54</v>
      </c>
      <c r="EN134" s="381" t="s">
        <v>54</v>
      </c>
      <c r="EO134" s="381" t="s">
        <v>54</v>
      </c>
      <c r="EP134" s="381" t="s">
        <v>54</v>
      </c>
      <c r="EQ134" s="381" t="s">
        <v>54</v>
      </c>
      <c r="ER134" s="381" t="s">
        <v>54</v>
      </c>
      <c r="ES134" s="381" t="s">
        <v>54</v>
      </c>
      <c r="ET134" s="381" t="s">
        <v>54</v>
      </c>
      <c r="EU134" s="381" t="s">
        <v>54</v>
      </c>
    </row>
    <row r="135" spans="1:151" s="1" customFormat="1" ht="19.899999999999999" customHeight="1">
      <c r="A135" s="493"/>
      <c r="B135" s="493"/>
      <c r="C135" s="487"/>
      <c r="D135" s="510"/>
      <c r="E135" s="507"/>
      <c r="F135" s="510"/>
      <c r="G135" s="514"/>
      <c r="H135" s="510"/>
      <c r="I135" s="510"/>
      <c r="J135" s="510"/>
      <c r="K135" s="493"/>
      <c r="L135" s="497"/>
      <c r="M135" s="493"/>
      <c r="N135" s="487"/>
      <c r="O135" s="514"/>
      <c r="P135" s="518"/>
      <c r="Q135" s="493"/>
      <c r="R135" s="381" t="s">
        <v>54</v>
      </c>
      <c r="S135" s="381" t="s">
        <v>54</v>
      </c>
      <c r="T135" s="381" t="s">
        <v>54</v>
      </c>
      <c r="U135" s="381" t="s">
        <v>54</v>
      </c>
      <c r="V135" s="381" t="s">
        <v>54</v>
      </c>
      <c r="W135" s="381" t="s">
        <v>54</v>
      </c>
      <c r="X135" s="490"/>
      <c r="Y135" s="381" t="s">
        <v>54</v>
      </c>
      <c r="Z135" s="521"/>
      <c r="AA135" s="381" t="s">
        <v>54</v>
      </c>
      <c r="AB135" s="493"/>
      <c r="AC135" s="381" t="s">
        <v>54</v>
      </c>
      <c r="AD135" s="493"/>
      <c r="AE135" s="381" t="s">
        <v>54</v>
      </c>
      <c r="AF135" s="381" t="s">
        <v>54</v>
      </c>
      <c r="AG135" s="381" t="s">
        <v>54</v>
      </c>
      <c r="AH135" s="381" t="s">
        <v>54</v>
      </c>
      <c r="AI135" s="381" t="s">
        <v>54</v>
      </c>
      <c r="AJ135" s="484"/>
      <c r="AK135" s="484"/>
      <c r="AL135" s="484"/>
      <c r="AM135" s="484"/>
      <c r="AN135" s="484"/>
      <c r="AO135" s="484"/>
      <c r="AP135" s="381" t="s">
        <v>54</v>
      </c>
      <c r="AQ135" s="487"/>
      <c r="AR135" s="381" t="s">
        <v>54</v>
      </c>
      <c r="AS135" s="385" t="s">
        <v>54</v>
      </c>
      <c r="AT135" s="385" t="s">
        <v>54</v>
      </c>
      <c r="AU135" s="381" t="s">
        <v>54</v>
      </c>
      <c r="AV135" s="381" t="s">
        <v>54</v>
      </c>
      <c r="AW135" s="381" t="s">
        <v>54</v>
      </c>
      <c r="AX135" s="381" t="s">
        <v>54</v>
      </c>
      <c r="AY135" s="386" t="s">
        <v>54</v>
      </c>
      <c r="AZ135" s="397" t="s">
        <v>54</v>
      </c>
      <c r="BA135" s="490"/>
      <c r="BB135" s="397" t="s">
        <v>54</v>
      </c>
      <c r="BC135" s="490"/>
      <c r="BD135" s="397" t="s">
        <v>54</v>
      </c>
      <c r="BE135" s="397" t="s">
        <v>54</v>
      </c>
      <c r="BF135" s="397" t="s">
        <v>54</v>
      </c>
      <c r="BG135" s="381" t="s">
        <v>54</v>
      </c>
      <c r="BH135" s="381" t="s">
        <v>54</v>
      </c>
      <c r="BI135" s="381" t="s">
        <v>54</v>
      </c>
      <c r="BJ135" s="381" t="s">
        <v>54</v>
      </c>
      <c r="BK135" s="381" t="s">
        <v>54</v>
      </c>
      <c r="BL135" s="381" t="s">
        <v>54</v>
      </c>
      <c r="BM135" s="381" t="s">
        <v>54</v>
      </c>
      <c r="BN135" s="381" t="s">
        <v>54</v>
      </c>
      <c r="BO135" s="381" t="s">
        <v>54</v>
      </c>
      <c r="BP135" s="381" t="s">
        <v>54</v>
      </c>
      <c r="BQ135" s="381" t="s">
        <v>54</v>
      </c>
      <c r="BR135" s="381" t="s">
        <v>54</v>
      </c>
      <c r="BS135" s="381" t="s">
        <v>54</v>
      </c>
      <c r="BT135" s="381" t="s">
        <v>54</v>
      </c>
      <c r="BU135" s="383" t="s">
        <v>54</v>
      </c>
      <c r="BV135" s="381" t="s">
        <v>54</v>
      </c>
      <c r="BW135" s="381" t="s">
        <v>54</v>
      </c>
      <c r="BX135" s="381" t="s">
        <v>54</v>
      </c>
      <c r="BY135" s="381" t="s">
        <v>54</v>
      </c>
      <c r="BZ135" s="381" t="s">
        <v>54</v>
      </c>
      <c r="CA135" s="381" t="s">
        <v>54</v>
      </c>
      <c r="CB135" s="381" t="s">
        <v>54</v>
      </c>
      <c r="CC135" s="381" t="s">
        <v>54</v>
      </c>
      <c r="CD135" s="381" t="s">
        <v>54</v>
      </c>
      <c r="CE135" s="383" t="s">
        <v>54</v>
      </c>
      <c r="CF135" s="381" t="s">
        <v>54</v>
      </c>
      <c r="CG135" s="381" t="s">
        <v>54</v>
      </c>
      <c r="CH135" s="381" t="s">
        <v>54</v>
      </c>
      <c r="CI135" s="383" t="s">
        <v>54</v>
      </c>
      <c r="CJ135" s="381" t="s">
        <v>54</v>
      </c>
      <c r="CK135" s="381" t="s">
        <v>54</v>
      </c>
      <c r="CL135" s="381" t="s">
        <v>54</v>
      </c>
      <c r="CM135" s="499"/>
      <c r="CN135" s="499"/>
      <c r="CO135" s="493"/>
      <c r="CP135" s="493"/>
      <c r="CQ135" s="493"/>
      <c r="CR135" s="493"/>
      <c r="CS135" s="493"/>
      <c r="CT135" s="493"/>
      <c r="CU135" s="493"/>
      <c r="CV135" s="501"/>
      <c r="CW135" s="493"/>
      <c r="CX135" s="493"/>
      <c r="CY135" s="493"/>
      <c r="CZ135" s="493"/>
      <c r="DA135" s="493"/>
      <c r="DB135" s="493"/>
      <c r="DC135" s="493"/>
      <c r="DD135" s="497"/>
      <c r="DE135" s="493"/>
      <c r="DF135" s="493"/>
      <c r="DG135" s="497"/>
      <c r="DH135" s="497"/>
      <c r="DI135" s="497"/>
      <c r="DJ135" s="497"/>
      <c r="DK135" s="497"/>
      <c r="DL135" s="497"/>
      <c r="DM135" s="382" t="s">
        <v>54</v>
      </c>
      <c r="DN135" s="537"/>
      <c r="DO135" s="381" t="s">
        <v>54</v>
      </c>
      <c r="DP135" s="385" t="s">
        <v>54</v>
      </c>
      <c r="DQ135" s="385" t="s">
        <v>54</v>
      </c>
      <c r="DR135" s="381" t="s">
        <v>54</v>
      </c>
      <c r="DS135" s="381" t="s">
        <v>54</v>
      </c>
      <c r="DT135" s="381" t="s">
        <v>54</v>
      </c>
      <c r="DU135" s="381" t="s">
        <v>54</v>
      </c>
      <c r="DV135" s="381" t="s">
        <v>54</v>
      </c>
      <c r="DW135" s="381" t="s">
        <v>54</v>
      </c>
      <c r="DX135" s="537"/>
      <c r="DY135" s="405" t="s">
        <v>54</v>
      </c>
      <c r="DZ135" s="537"/>
      <c r="EA135" s="405" t="s">
        <v>54</v>
      </c>
      <c r="EB135" s="405" t="s">
        <v>54</v>
      </c>
      <c r="EC135" s="405" t="s">
        <v>54</v>
      </c>
      <c r="ED135" s="381" t="s">
        <v>54</v>
      </c>
      <c r="EE135" s="381" t="s">
        <v>54</v>
      </c>
      <c r="EF135" s="381" t="s">
        <v>54</v>
      </c>
      <c r="EG135" s="381" t="s">
        <v>54</v>
      </c>
      <c r="EH135" s="381" t="s">
        <v>54</v>
      </c>
      <c r="EI135" s="381" t="s">
        <v>54</v>
      </c>
      <c r="EJ135" s="381" t="s">
        <v>54</v>
      </c>
      <c r="EK135" s="381" t="s">
        <v>54</v>
      </c>
      <c r="EL135" s="381" t="s">
        <v>54</v>
      </c>
      <c r="EM135" s="381" t="s">
        <v>54</v>
      </c>
      <c r="EN135" s="381" t="s">
        <v>54</v>
      </c>
      <c r="EO135" s="381" t="s">
        <v>54</v>
      </c>
      <c r="EP135" s="381" t="s">
        <v>54</v>
      </c>
      <c r="EQ135" s="381" t="s">
        <v>54</v>
      </c>
      <c r="ER135" s="381" t="s">
        <v>54</v>
      </c>
      <c r="ES135" s="381" t="s">
        <v>54</v>
      </c>
      <c r="ET135" s="381" t="s">
        <v>54</v>
      </c>
      <c r="EU135" s="381" t="s">
        <v>54</v>
      </c>
    </row>
    <row r="136" spans="1:151" s="1" customFormat="1" ht="19.899999999999999" customHeight="1">
      <c r="A136" s="494"/>
      <c r="B136" s="494"/>
      <c r="C136" s="488"/>
      <c r="D136" s="511"/>
      <c r="E136" s="508"/>
      <c r="F136" s="511"/>
      <c r="G136" s="515"/>
      <c r="H136" s="511"/>
      <c r="I136" s="511"/>
      <c r="J136" s="511"/>
      <c r="K136" s="494"/>
      <c r="L136" s="498"/>
      <c r="M136" s="494"/>
      <c r="N136" s="488"/>
      <c r="O136" s="515"/>
      <c r="P136" s="519"/>
      <c r="Q136" s="494"/>
      <c r="R136" s="381" t="s">
        <v>54</v>
      </c>
      <c r="S136" s="381" t="s">
        <v>54</v>
      </c>
      <c r="T136" s="381" t="s">
        <v>54</v>
      </c>
      <c r="U136" s="381" t="s">
        <v>54</v>
      </c>
      <c r="V136" s="381" t="s">
        <v>54</v>
      </c>
      <c r="W136" s="381" t="s">
        <v>54</v>
      </c>
      <c r="X136" s="490"/>
      <c r="Y136" s="381" t="s">
        <v>54</v>
      </c>
      <c r="Z136" s="521"/>
      <c r="AA136" s="381" t="s">
        <v>54</v>
      </c>
      <c r="AB136" s="494"/>
      <c r="AC136" s="381" t="s">
        <v>54</v>
      </c>
      <c r="AD136" s="494"/>
      <c r="AE136" s="381" t="s">
        <v>54</v>
      </c>
      <c r="AF136" s="381" t="s">
        <v>54</v>
      </c>
      <c r="AG136" s="381" t="s">
        <v>54</v>
      </c>
      <c r="AH136" s="381" t="s">
        <v>54</v>
      </c>
      <c r="AI136" s="381" t="s">
        <v>54</v>
      </c>
      <c r="AJ136" s="485"/>
      <c r="AK136" s="485"/>
      <c r="AL136" s="485"/>
      <c r="AM136" s="485"/>
      <c r="AN136" s="485"/>
      <c r="AO136" s="485"/>
      <c r="AP136" s="381" t="s">
        <v>54</v>
      </c>
      <c r="AQ136" s="488"/>
      <c r="AR136" s="381" t="s">
        <v>54</v>
      </c>
      <c r="AS136" s="385" t="s">
        <v>54</v>
      </c>
      <c r="AT136" s="385" t="s">
        <v>54</v>
      </c>
      <c r="AU136" s="381" t="s">
        <v>54</v>
      </c>
      <c r="AV136" s="381" t="s">
        <v>54</v>
      </c>
      <c r="AW136" s="381" t="s">
        <v>54</v>
      </c>
      <c r="AX136" s="381" t="s">
        <v>54</v>
      </c>
      <c r="AY136" s="386" t="s">
        <v>54</v>
      </c>
      <c r="AZ136" s="397" t="s">
        <v>54</v>
      </c>
      <c r="BA136" s="490"/>
      <c r="BB136" s="397" t="s">
        <v>54</v>
      </c>
      <c r="BC136" s="490"/>
      <c r="BD136" s="397" t="s">
        <v>54</v>
      </c>
      <c r="BE136" s="397" t="s">
        <v>54</v>
      </c>
      <c r="BF136" s="397" t="s">
        <v>54</v>
      </c>
      <c r="BG136" s="381" t="s">
        <v>54</v>
      </c>
      <c r="BH136" s="381" t="s">
        <v>54</v>
      </c>
      <c r="BI136" s="381" t="s">
        <v>54</v>
      </c>
      <c r="BJ136" s="381" t="s">
        <v>54</v>
      </c>
      <c r="BK136" s="381" t="s">
        <v>54</v>
      </c>
      <c r="BL136" s="381" t="s">
        <v>54</v>
      </c>
      <c r="BM136" s="381" t="s">
        <v>54</v>
      </c>
      <c r="BN136" s="381" t="s">
        <v>54</v>
      </c>
      <c r="BO136" s="381" t="s">
        <v>54</v>
      </c>
      <c r="BP136" s="381" t="s">
        <v>54</v>
      </c>
      <c r="BQ136" s="381" t="s">
        <v>54</v>
      </c>
      <c r="BR136" s="381" t="s">
        <v>54</v>
      </c>
      <c r="BS136" s="381" t="s">
        <v>54</v>
      </c>
      <c r="BT136" s="381" t="s">
        <v>54</v>
      </c>
      <c r="BU136" s="383" t="s">
        <v>54</v>
      </c>
      <c r="BV136" s="381" t="s">
        <v>54</v>
      </c>
      <c r="BW136" s="381" t="s">
        <v>54</v>
      </c>
      <c r="BX136" s="381" t="s">
        <v>54</v>
      </c>
      <c r="BY136" s="381" t="s">
        <v>54</v>
      </c>
      <c r="BZ136" s="381" t="s">
        <v>54</v>
      </c>
      <c r="CA136" s="381" t="s">
        <v>54</v>
      </c>
      <c r="CB136" s="381" t="s">
        <v>54</v>
      </c>
      <c r="CC136" s="381" t="s">
        <v>54</v>
      </c>
      <c r="CD136" s="381" t="s">
        <v>54</v>
      </c>
      <c r="CE136" s="383" t="s">
        <v>54</v>
      </c>
      <c r="CF136" s="381" t="s">
        <v>54</v>
      </c>
      <c r="CG136" s="381" t="s">
        <v>54</v>
      </c>
      <c r="CH136" s="381" t="s">
        <v>54</v>
      </c>
      <c r="CI136" s="383" t="s">
        <v>54</v>
      </c>
      <c r="CJ136" s="381" t="s">
        <v>54</v>
      </c>
      <c r="CK136" s="381" t="s">
        <v>54</v>
      </c>
      <c r="CL136" s="381" t="s">
        <v>54</v>
      </c>
      <c r="CM136" s="500"/>
      <c r="CN136" s="500"/>
      <c r="CO136" s="494"/>
      <c r="CP136" s="494"/>
      <c r="CQ136" s="494"/>
      <c r="CR136" s="494"/>
      <c r="CS136" s="494"/>
      <c r="CT136" s="494"/>
      <c r="CU136" s="494"/>
      <c r="CV136" s="501"/>
      <c r="CW136" s="494"/>
      <c r="CX136" s="494"/>
      <c r="CY136" s="494"/>
      <c r="CZ136" s="494"/>
      <c r="DA136" s="494"/>
      <c r="DB136" s="494"/>
      <c r="DC136" s="494"/>
      <c r="DD136" s="498"/>
      <c r="DE136" s="494"/>
      <c r="DF136" s="494"/>
      <c r="DG136" s="498"/>
      <c r="DH136" s="498"/>
      <c r="DI136" s="498"/>
      <c r="DJ136" s="498"/>
      <c r="DK136" s="498"/>
      <c r="DL136" s="498"/>
      <c r="DM136" s="382" t="s">
        <v>54</v>
      </c>
      <c r="DN136" s="537"/>
      <c r="DO136" s="381" t="s">
        <v>54</v>
      </c>
      <c r="DP136" s="385" t="s">
        <v>54</v>
      </c>
      <c r="DQ136" s="385" t="s">
        <v>54</v>
      </c>
      <c r="DR136" s="381" t="s">
        <v>54</v>
      </c>
      <c r="DS136" s="381" t="s">
        <v>54</v>
      </c>
      <c r="DT136" s="381" t="s">
        <v>54</v>
      </c>
      <c r="DU136" s="381" t="s">
        <v>54</v>
      </c>
      <c r="DV136" s="381" t="s">
        <v>54</v>
      </c>
      <c r="DW136" s="381" t="s">
        <v>54</v>
      </c>
      <c r="DX136" s="537"/>
      <c r="DY136" s="405" t="s">
        <v>54</v>
      </c>
      <c r="DZ136" s="537"/>
      <c r="EA136" s="405" t="s">
        <v>54</v>
      </c>
      <c r="EB136" s="405" t="s">
        <v>54</v>
      </c>
      <c r="EC136" s="405" t="s">
        <v>54</v>
      </c>
      <c r="ED136" s="381" t="s">
        <v>54</v>
      </c>
      <c r="EE136" s="381" t="s">
        <v>54</v>
      </c>
      <c r="EF136" s="381" t="s">
        <v>54</v>
      </c>
      <c r="EG136" s="381" t="s">
        <v>54</v>
      </c>
      <c r="EH136" s="381" t="s">
        <v>54</v>
      </c>
      <c r="EI136" s="381" t="s">
        <v>54</v>
      </c>
      <c r="EJ136" s="381" t="s">
        <v>54</v>
      </c>
      <c r="EK136" s="381" t="s">
        <v>54</v>
      </c>
      <c r="EL136" s="381" t="s">
        <v>54</v>
      </c>
      <c r="EM136" s="381" t="s">
        <v>54</v>
      </c>
      <c r="EN136" s="381" t="s">
        <v>54</v>
      </c>
      <c r="EO136" s="381" t="s">
        <v>54</v>
      </c>
      <c r="EP136" s="381" t="s">
        <v>54</v>
      </c>
      <c r="EQ136" s="381" t="s">
        <v>54</v>
      </c>
      <c r="ER136" s="381" t="s">
        <v>54</v>
      </c>
      <c r="ES136" s="381" t="s">
        <v>54</v>
      </c>
      <c r="ET136" s="381" t="s">
        <v>54</v>
      </c>
      <c r="EU136" s="381" t="s">
        <v>54</v>
      </c>
    </row>
  </sheetData>
  <autoFilter ref="A5:EU5" xr:uid="{00000000-0001-0000-0000-000000000000}"/>
  <mergeCells count="1888">
    <mergeCell ref="DX113:DX116"/>
    <mergeCell ref="DX117:DX120"/>
    <mergeCell ref="DX121:DX124"/>
    <mergeCell ref="DX125:DX128"/>
    <mergeCell ref="DX129:DX132"/>
    <mergeCell ref="DX133:DX136"/>
    <mergeCell ref="DZ93:DZ96"/>
    <mergeCell ref="DZ97:DZ100"/>
    <mergeCell ref="DZ101:DZ104"/>
    <mergeCell ref="DZ105:DZ108"/>
    <mergeCell ref="DZ109:DZ112"/>
    <mergeCell ref="DZ113:DZ116"/>
    <mergeCell ref="DZ117:DZ120"/>
    <mergeCell ref="DZ121:DZ124"/>
    <mergeCell ref="DZ125:DZ128"/>
    <mergeCell ref="DZ129:DZ132"/>
    <mergeCell ref="DZ133:DZ136"/>
    <mergeCell ref="DN113:DN116"/>
    <mergeCell ref="DN117:DN120"/>
    <mergeCell ref="DN121:DN124"/>
    <mergeCell ref="DN125:DN128"/>
    <mergeCell ref="DN129:DN132"/>
    <mergeCell ref="DN133:DN136"/>
    <mergeCell ref="DG125:DG128"/>
    <mergeCell ref="DH125:DH128"/>
    <mergeCell ref="DI125:DI128"/>
    <mergeCell ref="DJ125:DJ128"/>
    <mergeCell ref="DK125:DK128"/>
    <mergeCell ref="DL125:DL128"/>
    <mergeCell ref="DG129:DG132"/>
    <mergeCell ref="DH129:DH132"/>
    <mergeCell ref="DI129:DI132"/>
    <mergeCell ref="DJ129:DJ132"/>
    <mergeCell ref="DK129:DK132"/>
    <mergeCell ref="DL129:DL132"/>
    <mergeCell ref="DG133:DG136"/>
    <mergeCell ref="DH133:DH136"/>
    <mergeCell ref="DI133:DI136"/>
    <mergeCell ref="DJ133:DJ136"/>
    <mergeCell ref="DK133:DK136"/>
    <mergeCell ref="DL133:DL136"/>
    <mergeCell ref="DG113:DG116"/>
    <mergeCell ref="DH113:DH116"/>
    <mergeCell ref="DI113:DI116"/>
    <mergeCell ref="DJ113:DJ116"/>
    <mergeCell ref="DK113:DK116"/>
    <mergeCell ref="DL113:DL116"/>
    <mergeCell ref="DG117:DG120"/>
    <mergeCell ref="DH117:DH120"/>
    <mergeCell ref="DI117:DI120"/>
    <mergeCell ref="DJ117:DJ120"/>
    <mergeCell ref="DK117:DK120"/>
    <mergeCell ref="DL117:DL120"/>
    <mergeCell ref="DG121:DG124"/>
    <mergeCell ref="DH121:DH124"/>
    <mergeCell ref="DI121:DI124"/>
    <mergeCell ref="DJ121:DJ124"/>
    <mergeCell ref="DK121:DK124"/>
    <mergeCell ref="DL121:DL124"/>
    <mergeCell ref="DG101:DG104"/>
    <mergeCell ref="DH101:DH104"/>
    <mergeCell ref="DI101:DI104"/>
    <mergeCell ref="DJ101:DJ104"/>
    <mergeCell ref="DK101:DK104"/>
    <mergeCell ref="DL101:DL104"/>
    <mergeCell ref="DG105:DG108"/>
    <mergeCell ref="DH105:DH108"/>
    <mergeCell ref="DI105:DI108"/>
    <mergeCell ref="DJ105:DJ108"/>
    <mergeCell ref="DK105:DK108"/>
    <mergeCell ref="DL105:DL108"/>
    <mergeCell ref="DG109:DG112"/>
    <mergeCell ref="DH109:DH112"/>
    <mergeCell ref="DI109:DI112"/>
    <mergeCell ref="DJ109:DJ112"/>
    <mergeCell ref="DK109:DK112"/>
    <mergeCell ref="DL109:DL112"/>
    <mergeCell ref="DZ87:DZ92"/>
    <mergeCell ref="DG93:DG96"/>
    <mergeCell ref="DH93:DH96"/>
    <mergeCell ref="DI93:DI96"/>
    <mergeCell ref="DJ93:DJ96"/>
    <mergeCell ref="DK93:DK96"/>
    <mergeCell ref="DL93:DL96"/>
    <mergeCell ref="DG97:DG100"/>
    <mergeCell ref="DH97:DH100"/>
    <mergeCell ref="DI97:DI100"/>
    <mergeCell ref="DJ97:DJ100"/>
    <mergeCell ref="DK97:DK100"/>
    <mergeCell ref="DL97:DL100"/>
    <mergeCell ref="DX93:DX96"/>
    <mergeCell ref="DX97:DX100"/>
    <mergeCell ref="DN93:DN96"/>
    <mergeCell ref="DN97:DN100"/>
    <mergeCell ref="DN101:DN104"/>
    <mergeCell ref="DN105:DN108"/>
    <mergeCell ref="DN109:DN112"/>
    <mergeCell ref="DX101:DX104"/>
    <mergeCell ref="DX105:DX108"/>
    <mergeCell ref="DX109:DX112"/>
    <mergeCell ref="DG78:DG81"/>
    <mergeCell ref="DH78:DH81"/>
    <mergeCell ref="DI78:DI81"/>
    <mergeCell ref="DJ78:DJ81"/>
    <mergeCell ref="DK78:DK81"/>
    <mergeCell ref="DL78:DL81"/>
    <mergeCell ref="DN78:DN81"/>
    <mergeCell ref="DX78:DX81"/>
    <mergeCell ref="DZ78:DZ81"/>
    <mergeCell ref="DG82:DG86"/>
    <mergeCell ref="DH82:DH86"/>
    <mergeCell ref="DI82:DI86"/>
    <mergeCell ref="DJ82:DJ86"/>
    <mergeCell ref="DK82:DK86"/>
    <mergeCell ref="DL82:DL86"/>
    <mergeCell ref="DN82:DN86"/>
    <mergeCell ref="DX82:DX86"/>
    <mergeCell ref="DZ82:DZ86"/>
    <mergeCell ref="DG87:DG92"/>
    <mergeCell ref="DH87:DH92"/>
    <mergeCell ref="DI87:DI92"/>
    <mergeCell ref="DJ87:DJ92"/>
    <mergeCell ref="DK87:DK92"/>
    <mergeCell ref="DL87:DL92"/>
    <mergeCell ref="DN87:DN92"/>
    <mergeCell ref="DX87:DX92"/>
    <mergeCell ref="DG70:DG73"/>
    <mergeCell ref="DH70:DH73"/>
    <mergeCell ref="DI70:DI73"/>
    <mergeCell ref="DJ70:DJ73"/>
    <mergeCell ref="DK70:DK73"/>
    <mergeCell ref="DL70:DL73"/>
    <mergeCell ref="DN70:DN73"/>
    <mergeCell ref="DX70:DX73"/>
    <mergeCell ref="DZ70:DZ73"/>
    <mergeCell ref="DG74:DG77"/>
    <mergeCell ref="DH74:DH77"/>
    <mergeCell ref="DI74:DI77"/>
    <mergeCell ref="DJ74:DJ77"/>
    <mergeCell ref="DK74:DK77"/>
    <mergeCell ref="DL74:DL77"/>
    <mergeCell ref="DN74:DN77"/>
    <mergeCell ref="DX74:DX77"/>
    <mergeCell ref="DZ74:DZ77"/>
    <mergeCell ref="DG62:DG65"/>
    <mergeCell ref="DH62:DH65"/>
    <mergeCell ref="DI62:DI65"/>
    <mergeCell ref="DJ62:DJ65"/>
    <mergeCell ref="DK62:DK65"/>
    <mergeCell ref="DL62:DL65"/>
    <mergeCell ref="DN62:DN65"/>
    <mergeCell ref="DX62:DX65"/>
    <mergeCell ref="DZ62:DZ65"/>
    <mergeCell ref="DG66:DG69"/>
    <mergeCell ref="DH66:DH69"/>
    <mergeCell ref="DI66:DI69"/>
    <mergeCell ref="DJ66:DJ69"/>
    <mergeCell ref="DK66:DK69"/>
    <mergeCell ref="DL66:DL69"/>
    <mergeCell ref="DN66:DN69"/>
    <mergeCell ref="DX66:DX69"/>
    <mergeCell ref="DZ66:DZ69"/>
    <mergeCell ref="DG54:DG57"/>
    <mergeCell ref="DH54:DH57"/>
    <mergeCell ref="DI54:DI57"/>
    <mergeCell ref="DJ54:DJ57"/>
    <mergeCell ref="DK54:DK57"/>
    <mergeCell ref="DL54:DL57"/>
    <mergeCell ref="DN54:DN57"/>
    <mergeCell ref="DX54:DX57"/>
    <mergeCell ref="DZ54:DZ57"/>
    <mergeCell ref="DG58:DG61"/>
    <mergeCell ref="DH58:DH61"/>
    <mergeCell ref="DI58:DI61"/>
    <mergeCell ref="DJ58:DJ61"/>
    <mergeCell ref="DK58:DK61"/>
    <mergeCell ref="DL58:DL61"/>
    <mergeCell ref="DN58:DN61"/>
    <mergeCell ref="DX58:DX61"/>
    <mergeCell ref="DZ58:DZ61"/>
    <mergeCell ref="DG46:DG49"/>
    <mergeCell ref="DH46:DH49"/>
    <mergeCell ref="DI46:DI49"/>
    <mergeCell ref="DJ46:DJ49"/>
    <mergeCell ref="DK46:DK49"/>
    <mergeCell ref="DL46:DL49"/>
    <mergeCell ref="DN46:DN49"/>
    <mergeCell ref="DX46:DX49"/>
    <mergeCell ref="DZ46:DZ49"/>
    <mergeCell ref="DG50:DG53"/>
    <mergeCell ref="DH50:DH53"/>
    <mergeCell ref="DI50:DI53"/>
    <mergeCell ref="DJ50:DJ53"/>
    <mergeCell ref="DK50:DK53"/>
    <mergeCell ref="DL50:DL53"/>
    <mergeCell ref="DN50:DN53"/>
    <mergeCell ref="DX50:DX53"/>
    <mergeCell ref="DZ50:DZ53"/>
    <mergeCell ref="DG38:DG41"/>
    <mergeCell ref="DH38:DH41"/>
    <mergeCell ref="DI38:DI41"/>
    <mergeCell ref="DJ38:DJ41"/>
    <mergeCell ref="DK38:DK41"/>
    <mergeCell ref="DL38:DL41"/>
    <mergeCell ref="DN38:DN41"/>
    <mergeCell ref="DX38:DX41"/>
    <mergeCell ref="DZ38:DZ41"/>
    <mergeCell ref="DG42:DG45"/>
    <mergeCell ref="DH42:DH45"/>
    <mergeCell ref="DI42:DI45"/>
    <mergeCell ref="DJ42:DJ45"/>
    <mergeCell ref="DK42:DK45"/>
    <mergeCell ref="DL42:DL45"/>
    <mergeCell ref="DN42:DN45"/>
    <mergeCell ref="DX42:DX45"/>
    <mergeCell ref="DZ42:DZ45"/>
    <mergeCell ref="DG30:DG33"/>
    <mergeCell ref="DH30:DH33"/>
    <mergeCell ref="DI30:DI33"/>
    <mergeCell ref="DJ30:DJ33"/>
    <mergeCell ref="DK30:DK33"/>
    <mergeCell ref="DL30:DL33"/>
    <mergeCell ref="DN30:DN33"/>
    <mergeCell ref="DX30:DX33"/>
    <mergeCell ref="DZ30:DZ33"/>
    <mergeCell ref="DG34:DG37"/>
    <mergeCell ref="DH34:DH37"/>
    <mergeCell ref="DI34:DI37"/>
    <mergeCell ref="DJ34:DJ37"/>
    <mergeCell ref="DK34:DK37"/>
    <mergeCell ref="DL34:DL37"/>
    <mergeCell ref="DN34:DN37"/>
    <mergeCell ref="DX34:DX37"/>
    <mergeCell ref="DZ34:DZ37"/>
    <mergeCell ref="DG22:DG25"/>
    <mergeCell ref="DH22:DH25"/>
    <mergeCell ref="DI22:DI25"/>
    <mergeCell ref="DJ22:DJ25"/>
    <mergeCell ref="DK22:DK25"/>
    <mergeCell ref="DL22:DL25"/>
    <mergeCell ref="DN22:DN25"/>
    <mergeCell ref="DX22:DX25"/>
    <mergeCell ref="DZ22:DZ25"/>
    <mergeCell ref="DG26:DG29"/>
    <mergeCell ref="DH26:DH29"/>
    <mergeCell ref="DI26:DI29"/>
    <mergeCell ref="DJ26:DJ29"/>
    <mergeCell ref="DK26:DK29"/>
    <mergeCell ref="DL26:DL29"/>
    <mergeCell ref="DN26:DN29"/>
    <mergeCell ref="DX26:DX29"/>
    <mergeCell ref="DZ26:DZ29"/>
    <mergeCell ref="DG14:DG17"/>
    <mergeCell ref="DH14:DH17"/>
    <mergeCell ref="DI14:DI17"/>
    <mergeCell ref="DJ14:DJ17"/>
    <mergeCell ref="DK14:DK17"/>
    <mergeCell ref="DL14:DL17"/>
    <mergeCell ref="DN14:DN17"/>
    <mergeCell ref="DX14:DX17"/>
    <mergeCell ref="DZ14:DZ17"/>
    <mergeCell ref="DG18:DG21"/>
    <mergeCell ref="DH18:DH21"/>
    <mergeCell ref="DI18:DI21"/>
    <mergeCell ref="DJ18:DJ21"/>
    <mergeCell ref="DK18:DK21"/>
    <mergeCell ref="DL18:DL21"/>
    <mergeCell ref="DN18:DN21"/>
    <mergeCell ref="DX18:DX21"/>
    <mergeCell ref="DZ18:DZ21"/>
    <mergeCell ref="DG6:DG9"/>
    <mergeCell ref="DH6:DH9"/>
    <mergeCell ref="DI6:DI9"/>
    <mergeCell ref="DJ6:DJ9"/>
    <mergeCell ref="DK6:DK9"/>
    <mergeCell ref="DL6:DL9"/>
    <mergeCell ref="DN6:DN9"/>
    <mergeCell ref="DX6:DX9"/>
    <mergeCell ref="DZ6:DZ9"/>
    <mergeCell ref="DG10:DG13"/>
    <mergeCell ref="DH10:DH13"/>
    <mergeCell ref="DI10:DI13"/>
    <mergeCell ref="DJ10:DJ13"/>
    <mergeCell ref="DK10:DK13"/>
    <mergeCell ref="DL10:DL13"/>
    <mergeCell ref="DN10:DN13"/>
    <mergeCell ref="DX10:DX13"/>
    <mergeCell ref="DZ10:DZ13"/>
    <mergeCell ref="AB87:AB92"/>
    <mergeCell ref="AD87:AD92"/>
    <mergeCell ref="AJ87:AJ92"/>
    <mergeCell ref="AQ87:AQ92"/>
    <mergeCell ref="BA87:BA92"/>
    <mergeCell ref="BC87:BC92"/>
    <mergeCell ref="CY87:CY92"/>
    <mergeCell ref="CZ87:CZ92"/>
    <mergeCell ref="DA87:DA92"/>
    <mergeCell ref="DB87:DB92"/>
    <mergeCell ref="DC87:DC92"/>
    <mergeCell ref="CR87:CR92"/>
    <mergeCell ref="CS87:CS92"/>
    <mergeCell ref="CT87:CT92"/>
    <mergeCell ref="CU87:CU92"/>
    <mergeCell ref="CV87:CV92"/>
    <mergeCell ref="CW87:CW92"/>
    <mergeCell ref="CX87:CX92"/>
    <mergeCell ref="AL87:AL92"/>
    <mergeCell ref="CN87:CN92"/>
    <mergeCell ref="DE78:DE81"/>
    <mergeCell ref="DF78:DF81"/>
    <mergeCell ref="A82:A86"/>
    <mergeCell ref="BA82:BA86"/>
    <mergeCell ref="BC82:BC86"/>
    <mergeCell ref="CY82:CY86"/>
    <mergeCell ref="CZ82:CZ86"/>
    <mergeCell ref="DA82:DA86"/>
    <mergeCell ref="CM82:CM86"/>
    <mergeCell ref="CO82:CO86"/>
    <mergeCell ref="CP82:CP86"/>
    <mergeCell ref="CQ82:CQ86"/>
    <mergeCell ref="CR82:CR86"/>
    <mergeCell ref="AB82:AB86"/>
    <mergeCell ref="AD82:AD86"/>
    <mergeCell ref="CU82:CU86"/>
    <mergeCell ref="CV82:CV86"/>
    <mergeCell ref="CW82:CW86"/>
    <mergeCell ref="CX82:CX86"/>
    <mergeCell ref="DB78:DB81"/>
    <mergeCell ref="CS82:CS86"/>
    <mergeCell ref="CT82:CT86"/>
    <mergeCell ref="CW78:CW81"/>
    <mergeCell ref="CX78:CX81"/>
    <mergeCell ref="CY78:CY81"/>
    <mergeCell ref="CZ78:CZ81"/>
    <mergeCell ref="DA78:DA81"/>
    <mergeCell ref="Q82:Q86"/>
    <mergeCell ref="AK82:AK86"/>
    <mergeCell ref="AL82:AL86"/>
    <mergeCell ref="AJ82:AJ86"/>
    <mergeCell ref="AQ82:AQ86"/>
    <mergeCell ref="DE82:DE86"/>
    <mergeCell ref="DF82:DF86"/>
    <mergeCell ref="A87:A92"/>
    <mergeCell ref="B87:B92"/>
    <mergeCell ref="C87:C92"/>
    <mergeCell ref="D87:D92"/>
    <mergeCell ref="E87:E92"/>
    <mergeCell ref="F87:F92"/>
    <mergeCell ref="G87:G92"/>
    <mergeCell ref="H87:H92"/>
    <mergeCell ref="I87:I92"/>
    <mergeCell ref="J87:J92"/>
    <mergeCell ref="K87:K92"/>
    <mergeCell ref="L87:L92"/>
    <mergeCell ref="M87:M92"/>
    <mergeCell ref="N87:N92"/>
    <mergeCell ref="O87:O92"/>
    <mergeCell ref="P87:P92"/>
    <mergeCell ref="Q87:Q92"/>
    <mergeCell ref="CM87:CM92"/>
    <mergeCell ref="CO87:CO92"/>
    <mergeCell ref="CP87:CP92"/>
    <mergeCell ref="CQ87:CQ92"/>
    <mergeCell ref="AK87:AK92"/>
    <mergeCell ref="DD87:DD92"/>
    <mergeCell ref="DE87:DE92"/>
    <mergeCell ref="DF87:DF92"/>
    <mergeCell ref="AM87:AM92"/>
    <mergeCell ref="AN87:AN92"/>
    <mergeCell ref="AO87:AO92"/>
    <mergeCell ref="X87:X92"/>
    <mergeCell ref="Z87:Z92"/>
    <mergeCell ref="AJ78:AJ81"/>
    <mergeCell ref="AM82:AM86"/>
    <mergeCell ref="AN82:AN86"/>
    <mergeCell ref="AO82:AO86"/>
    <mergeCell ref="X82:X86"/>
    <mergeCell ref="Z82:Z86"/>
    <mergeCell ref="AK78:AK81"/>
    <mergeCell ref="AL78:AL81"/>
    <mergeCell ref="AM78:AM81"/>
    <mergeCell ref="AN78:AN81"/>
    <mergeCell ref="AO78:AO81"/>
    <mergeCell ref="X78:X81"/>
    <mergeCell ref="Z78:Z81"/>
    <mergeCell ref="AB78:AB81"/>
    <mergeCell ref="DC78:DC81"/>
    <mergeCell ref="DD78:DD81"/>
    <mergeCell ref="DB82:DB86"/>
    <mergeCell ref="DC82:DC86"/>
    <mergeCell ref="DD82:DD86"/>
    <mergeCell ref="CN78:CN81"/>
    <mergeCell ref="CN82:CN86"/>
    <mergeCell ref="Q78:Q81"/>
    <mergeCell ref="B82:B86"/>
    <mergeCell ref="C82:C86"/>
    <mergeCell ref="D82:D86"/>
    <mergeCell ref="E82:E86"/>
    <mergeCell ref="F82:F86"/>
    <mergeCell ref="G82:G86"/>
    <mergeCell ref="H82:H86"/>
    <mergeCell ref="I82:I86"/>
    <mergeCell ref="J82:J86"/>
    <mergeCell ref="K82:K86"/>
    <mergeCell ref="L82:L86"/>
    <mergeCell ref="M82:M86"/>
    <mergeCell ref="N82:N86"/>
    <mergeCell ref="O82:O86"/>
    <mergeCell ref="P82:P86"/>
    <mergeCell ref="AD78:AD81"/>
    <mergeCell ref="CX74:CX77"/>
    <mergeCell ref="CY74:CY77"/>
    <mergeCell ref="CZ74:CZ77"/>
    <mergeCell ref="DA74:DA77"/>
    <mergeCell ref="CT78:CT81"/>
    <mergeCell ref="CU78:CU81"/>
    <mergeCell ref="CV78:CV81"/>
    <mergeCell ref="AQ78:AQ81"/>
    <mergeCell ref="BA78:BA81"/>
    <mergeCell ref="BC78:BC81"/>
    <mergeCell ref="CM78:CM81"/>
    <mergeCell ref="CO78:CO81"/>
    <mergeCell ref="CP78:CP81"/>
    <mergeCell ref="CQ78:CQ81"/>
    <mergeCell ref="CR78:CR81"/>
    <mergeCell ref="CS78:CS81"/>
    <mergeCell ref="A78:A81"/>
    <mergeCell ref="B78:B81"/>
    <mergeCell ref="C78:C81"/>
    <mergeCell ref="D78:D81"/>
    <mergeCell ref="E78:E81"/>
    <mergeCell ref="F78:F81"/>
    <mergeCell ref="G78:G81"/>
    <mergeCell ref="H78:H81"/>
    <mergeCell ref="I78:I81"/>
    <mergeCell ref="J78:J81"/>
    <mergeCell ref="K78:K81"/>
    <mergeCell ref="L78:L81"/>
    <mergeCell ref="M78:M81"/>
    <mergeCell ref="N78:N81"/>
    <mergeCell ref="O78:O81"/>
    <mergeCell ref="P78:P81"/>
    <mergeCell ref="DB74:DB77"/>
    <mergeCell ref="DC74:DC77"/>
    <mergeCell ref="DD74:DD77"/>
    <mergeCell ref="DE74:DE77"/>
    <mergeCell ref="DF74:DF77"/>
    <mergeCell ref="X74:X77"/>
    <mergeCell ref="Z74:Z77"/>
    <mergeCell ref="AB74:AB77"/>
    <mergeCell ref="AD74:AD77"/>
    <mergeCell ref="AJ74:AJ77"/>
    <mergeCell ref="AQ74:AQ77"/>
    <mergeCell ref="BA74:BA77"/>
    <mergeCell ref="BC74:BC77"/>
    <mergeCell ref="CM74:CM77"/>
    <mergeCell ref="CO74:CO77"/>
    <mergeCell ref="CX70:CX73"/>
    <mergeCell ref="CY70:CY73"/>
    <mergeCell ref="CZ70:CZ73"/>
    <mergeCell ref="DA70:DA73"/>
    <mergeCell ref="DB70:DB73"/>
    <mergeCell ref="DC70:DC73"/>
    <mergeCell ref="DD70:DD73"/>
    <mergeCell ref="DE70:DE73"/>
    <mergeCell ref="DF70:DF73"/>
    <mergeCell ref="CP74:CP77"/>
    <mergeCell ref="CQ74:CQ77"/>
    <mergeCell ref="CR74:CR77"/>
    <mergeCell ref="CS74:CS77"/>
    <mergeCell ref="CT74:CT77"/>
    <mergeCell ref="CU74:CU77"/>
    <mergeCell ref="CV74:CV77"/>
    <mergeCell ref="CW74:CW77"/>
    <mergeCell ref="A74:A77"/>
    <mergeCell ref="B74:B77"/>
    <mergeCell ref="C74:C77"/>
    <mergeCell ref="D74:D77"/>
    <mergeCell ref="E74:E77"/>
    <mergeCell ref="F74:F77"/>
    <mergeCell ref="G74:G77"/>
    <mergeCell ref="H74:H77"/>
    <mergeCell ref="I74:I77"/>
    <mergeCell ref="J74:J77"/>
    <mergeCell ref="K74:K77"/>
    <mergeCell ref="L74:L77"/>
    <mergeCell ref="M74:M77"/>
    <mergeCell ref="N74:N77"/>
    <mergeCell ref="O74:O77"/>
    <mergeCell ref="P74:P77"/>
    <mergeCell ref="Q74:Q77"/>
    <mergeCell ref="AK74:AK77"/>
    <mergeCell ref="AL74:AL77"/>
    <mergeCell ref="AM74:AM77"/>
    <mergeCell ref="AN74:AN77"/>
    <mergeCell ref="AO74:AO77"/>
    <mergeCell ref="BA70:BA73"/>
    <mergeCell ref="BC70:BC73"/>
    <mergeCell ref="CM70:CM73"/>
    <mergeCell ref="CO70:CO73"/>
    <mergeCell ref="CP70:CP73"/>
    <mergeCell ref="CQ70:CQ73"/>
    <mergeCell ref="CR70:CR73"/>
    <mergeCell ref="CS70:CS73"/>
    <mergeCell ref="CT70:CT73"/>
    <mergeCell ref="CU70:CU73"/>
    <mergeCell ref="CV70:CV73"/>
    <mergeCell ref="CW70:CW73"/>
    <mergeCell ref="CN70:CN73"/>
    <mergeCell ref="CN74:CN77"/>
    <mergeCell ref="DF66:DF69"/>
    <mergeCell ref="A70:A73"/>
    <mergeCell ref="B70:B73"/>
    <mergeCell ref="C70:C73"/>
    <mergeCell ref="D70:D73"/>
    <mergeCell ref="E70:E73"/>
    <mergeCell ref="F70:F73"/>
    <mergeCell ref="G70:G73"/>
    <mergeCell ref="H70:H73"/>
    <mergeCell ref="I70:I73"/>
    <mergeCell ref="J70:J73"/>
    <mergeCell ref="K70:K73"/>
    <mergeCell ref="L70:L73"/>
    <mergeCell ref="M70:M73"/>
    <mergeCell ref="N70:N73"/>
    <mergeCell ref="O70:O73"/>
    <mergeCell ref="P70:P73"/>
    <mergeCell ref="Q70:Q73"/>
    <mergeCell ref="AK70:AK73"/>
    <mergeCell ref="AL70:AL73"/>
    <mergeCell ref="AM70:AM73"/>
    <mergeCell ref="AN70:AN73"/>
    <mergeCell ref="AO70:AO73"/>
    <mergeCell ref="X70:X73"/>
    <mergeCell ref="Z70:Z73"/>
    <mergeCell ref="AB70:AB73"/>
    <mergeCell ref="AD70:AD73"/>
    <mergeCell ref="AJ70:AJ73"/>
    <mergeCell ref="AQ70:AQ73"/>
    <mergeCell ref="CO66:CO69"/>
    <mergeCell ref="CP66:CP69"/>
    <mergeCell ref="CQ66:CQ69"/>
    <mergeCell ref="CT66:CT69"/>
    <mergeCell ref="CU66:CU69"/>
    <mergeCell ref="CV66:CV69"/>
    <mergeCell ref="CW66:CW69"/>
    <mergeCell ref="CX66:CX69"/>
    <mergeCell ref="CY66:CY69"/>
    <mergeCell ref="CZ66:CZ69"/>
    <mergeCell ref="DA66:DA69"/>
    <mergeCell ref="DB66:DB69"/>
    <mergeCell ref="DC66:DC69"/>
    <mergeCell ref="DD66:DD69"/>
    <mergeCell ref="DE66:DE69"/>
    <mergeCell ref="AO66:AO69"/>
    <mergeCell ref="X66:X69"/>
    <mergeCell ref="Z66:Z69"/>
    <mergeCell ref="AB66:AB69"/>
    <mergeCell ref="AD66:AD69"/>
    <mergeCell ref="AJ66:AJ69"/>
    <mergeCell ref="AQ66:AQ69"/>
    <mergeCell ref="BA66:BA69"/>
    <mergeCell ref="BC66:BC69"/>
    <mergeCell ref="CM66:CM69"/>
    <mergeCell ref="CN66:CN69"/>
    <mergeCell ref="CY62:CY65"/>
    <mergeCell ref="CZ62:CZ65"/>
    <mergeCell ref="DA62:DA65"/>
    <mergeCell ref="DB62:DB65"/>
    <mergeCell ref="DC62:DC65"/>
    <mergeCell ref="DD62:DD65"/>
    <mergeCell ref="DE62:DE65"/>
    <mergeCell ref="DF62:DF65"/>
    <mergeCell ref="A66:A69"/>
    <mergeCell ref="B66:B69"/>
    <mergeCell ref="C66:C69"/>
    <mergeCell ref="D66:D69"/>
    <mergeCell ref="E66:E69"/>
    <mergeCell ref="F66:F69"/>
    <mergeCell ref="G66:G69"/>
    <mergeCell ref="H66:H69"/>
    <mergeCell ref="I66:I69"/>
    <mergeCell ref="J66:J69"/>
    <mergeCell ref="K66:K69"/>
    <mergeCell ref="L66:L69"/>
    <mergeCell ref="M66:M69"/>
    <mergeCell ref="N66:N69"/>
    <mergeCell ref="O66:O69"/>
    <mergeCell ref="P66:P69"/>
    <mergeCell ref="Q66:Q69"/>
    <mergeCell ref="AK66:AK69"/>
    <mergeCell ref="AL66:AL69"/>
    <mergeCell ref="AM66:AM69"/>
    <mergeCell ref="AN66:AN69"/>
    <mergeCell ref="AQ62:AQ65"/>
    <mergeCell ref="CR66:CR69"/>
    <mergeCell ref="CS66:CS69"/>
    <mergeCell ref="CP62:CP65"/>
    <mergeCell ref="CQ62:CQ65"/>
    <mergeCell ref="CR62:CR65"/>
    <mergeCell ref="CS62:CS65"/>
    <mergeCell ref="CT62:CT65"/>
    <mergeCell ref="CU62:CU65"/>
    <mergeCell ref="CV62:CV65"/>
    <mergeCell ref="CX46:CX49"/>
    <mergeCell ref="CU54:CU57"/>
    <mergeCell ref="CV54:CV57"/>
    <mergeCell ref="CW54:CW57"/>
    <mergeCell ref="CU46:CU49"/>
    <mergeCell ref="J62:J65"/>
    <mergeCell ref="K62:K65"/>
    <mergeCell ref="L62:L65"/>
    <mergeCell ref="M62:M65"/>
    <mergeCell ref="N62:N65"/>
    <mergeCell ref="O62:O65"/>
    <mergeCell ref="P62:P65"/>
    <mergeCell ref="AJ62:AJ65"/>
    <mergeCell ref="Z54:Z57"/>
    <mergeCell ref="AK54:AK57"/>
    <mergeCell ref="J46:J49"/>
    <mergeCell ref="P54:P57"/>
    <mergeCell ref="Q54:Q57"/>
    <mergeCell ref="N54:N57"/>
    <mergeCell ref="AM54:AM57"/>
    <mergeCell ref="AQ54:AQ57"/>
    <mergeCell ref="CW62:CW65"/>
    <mergeCell ref="CX62:CX65"/>
    <mergeCell ref="CN46:CN49"/>
    <mergeCell ref="CN62:CN65"/>
    <mergeCell ref="Q62:Q65"/>
    <mergeCell ref="AK62:AK65"/>
    <mergeCell ref="AL62:AL65"/>
    <mergeCell ref="AM62:AM65"/>
    <mergeCell ref="AN62:AN65"/>
    <mergeCell ref="AO62:AO65"/>
    <mergeCell ref="X62:X65"/>
    <mergeCell ref="Z62:Z65"/>
    <mergeCell ref="AN58:AN61"/>
    <mergeCell ref="AO58:AO61"/>
    <mergeCell ref="X58:X61"/>
    <mergeCell ref="H62:H65"/>
    <mergeCell ref="AL58:AL61"/>
    <mergeCell ref="AM58:AM61"/>
    <mergeCell ref="AB62:AB65"/>
    <mergeCell ref="AD62:AD65"/>
    <mergeCell ref="CO62:CO65"/>
    <mergeCell ref="CT30:CT33"/>
    <mergeCell ref="CP46:CP49"/>
    <mergeCell ref="CY34:CY37"/>
    <mergeCell ref="CZ34:CZ37"/>
    <mergeCell ref="DC26:DC29"/>
    <mergeCell ref="AL30:AL33"/>
    <mergeCell ref="AN30:AN33"/>
    <mergeCell ref="AO34:AO37"/>
    <mergeCell ref="CZ38:CZ41"/>
    <mergeCell ref="AB6:AB9"/>
    <mergeCell ref="AD6:AD9"/>
    <mergeCell ref="BC18:BC21"/>
    <mergeCell ref="CX18:CX21"/>
    <mergeCell ref="CY18:CY21"/>
    <mergeCell ref="CW6:CW9"/>
    <mergeCell ref="DB14:DB17"/>
    <mergeCell ref="CX6:CX9"/>
    <mergeCell ref="CY6:CY9"/>
    <mergeCell ref="CP6:CP9"/>
    <mergeCell ref="CN6:CN9"/>
    <mergeCell ref="CN10:CN13"/>
    <mergeCell ref="CN14:CN17"/>
    <mergeCell ref="CN18:CN21"/>
    <mergeCell ref="CN22:CN25"/>
    <mergeCell ref="CN26:CN29"/>
    <mergeCell ref="CN30:CN33"/>
    <mergeCell ref="CN34:CN37"/>
    <mergeCell ref="CN38:CN41"/>
    <mergeCell ref="CN42:CN45"/>
    <mergeCell ref="DE6:DE9"/>
    <mergeCell ref="DF6:DF9"/>
    <mergeCell ref="CZ6:CZ9"/>
    <mergeCell ref="DA6:DA9"/>
    <mergeCell ref="DD18:DD21"/>
    <mergeCell ref="DE18:DE21"/>
    <mergeCell ref="DF18:DF21"/>
    <mergeCell ref="CZ18:CZ21"/>
    <mergeCell ref="DA18:DA21"/>
    <mergeCell ref="DB18:DB21"/>
    <mergeCell ref="CZ14:CZ17"/>
    <mergeCell ref="DA14:DA17"/>
    <mergeCell ref="DC10:DC13"/>
    <mergeCell ref="DD10:DD13"/>
    <mergeCell ref="DE10:DE13"/>
    <mergeCell ref="DF10:DF13"/>
    <mergeCell ref="DC18:DC21"/>
    <mergeCell ref="DD6:DD9"/>
    <mergeCell ref="DC14:DC17"/>
    <mergeCell ref="DE14:DE17"/>
    <mergeCell ref="DF14:DF17"/>
    <mergeCell ref="DB6:DB9"/>
    <mergeCell ref="DC6:DC9"/>
    <mergeCell ref="CZ10:CZ13"/>
    <mergeCell ref="DA10:DA13"/>
    <mergeCell ref="DB10:DB13"/>
    <mergeCell ref="P10:P13"/>
    <mergeCell ref="Q10:Q13"/>
    <mergeCell ref="X10:X13"/>
    <mergeCell ref="Z10:Z13"/>
    <mergeCell ref="CQ10:CQ13"/>
    <mergeCell ref="CR10:CR13"/>
    <mergeCell ref="BA10:BA13"/>
    <mergeCell ref="A6:A9"/>
    <mergeCell ref="C6:C9"/>
    <mergeCell ref="D6:D9"/>
    <mergeCell ref="E6:E9"/>
    <mergeCell ref="CS18:CS21"/>
    <mergeCell ref="CT18:CT21"/>
    <mergeCell ref="CU18:CU21"/>
    <mergeCell ref="CV18:CV21"/>
    <mergeCell ref="BC6:BC9"/>
    <mergeCell ref="CU6:CU9"/>
    <mergeCell ref="K6:K9"/>
    <mergeCell ref="L6:L9"/>
    <mergeCell ref="M6:M9"/>
    <mergeCell ref="E14:E17"/>
    <mergeCell ref="Q14:Q17"/>
    <mergeCell ref="X14:X17"/>
    <mergeCell ref="Z14:Z17"/>
    <mergeCell ref="AB14:AB17"/>
    <mergeCell ref="AD14:AD17"/>
    <mergeCell ref="K14:K17"/>
    <mergeCell ref="AD18:AD21"/>
    <mergeCell ref="AJ18:AJ21"/>
    <mergeCell ref="AQ18:AQ21"/>
    <mergeCell ref="AO6:AO9"/>
    <mergeCell ref="CR6:CR9"/>
    <mergeCell ref="CS6:CS9"/>
    <mergeCell ref="CT6:CT9"/>
    <mergeCell ref="CV6:CV9"/>
    <mergeCell ref="D14:D17"/>
    <mergeCell ref="F6:F9"/>
    <mergeCell ref="BA18:BA21"/>
    <mergeCell ref="DC30:DC33"/>
    <mergeCell ref="DD30:DD33"/>
    <mergeCell ref="DE30:DE33"/>
    <mergeCell ref="DF30:DF33"/>
    <mergeCell ref="B6:B9"/>
    <mergeCell ref="B10:B13"/>
    <mergeCell ref="B14:B17"/>
    <mergeCell ref="B18:B21"/>
    <mergeCell ref="B22:B25"/>
    <mergeCell ref="B26:B29"/>
    <mergeCell ref="B30:B33"/>
    <mergeCell ref="G6:G9"/>
    <mergeCell ref="H6:H9"/>
    <mergeCell ref="I6:I9"/>
    <mergeCell ref="J6:J9"/>
    <mergeCell ref="AK6:AK9"/>
    <mergeCell ref="AL6:AL9"/>
    <mergeCell ref="AN6:AN9"/>
    <mergeCell ref="CM6:CM9"/>
    <mergeCell ref="CO6:CO9"/>
    <mergeCell ref="AJ6:AJ9"/>
    <mergeCell ref="AQ6:AQ9"/>
    <mergeCell ref="BA6:BA9"/>
    <mergeCell ref="CQ6:CQ9"/>
    <mergeCell ref="O10:O13"/>
    <mergeCell ref="AL18:AL21"/>
    <mergeCell ref="CX14:CX17"/>
    <mergeCell ref="AB18:AB21"/>
    <mergeCell ref="CO18:CO21"/>
    <mergeCell ref="A18:A21"/>
    <mergeCell ref="C18:C21"/>
    <mergeCell ref="D18:D21"/>
    <mergeCell ref="E18:E21"/>
    <mergeCell ref="F18:F21"/>
    <mergeCell ref="G18:G21"/>
    <mergeCell ref="H18:H21"/>
    <mergeCell ref="I18:I21"/>
    <mergeCell ref="J18:J21"/>
    <mergeCell ref="K18:K21"/>
    <mergeCell ref="L18:L21"/>
    <mergeCell ref="M18:M21"/>
    <mergeCell ref="CW18:CW21"/>
    <mergeCell ref="CM18:CM21"/>
    <mergeCell ref="CY14:CY17"/>
    <mergeCell ref="CP14:CP17"/>
    <mergeCell ref="CQ14:CQ17"/>
    <mergeCell ref="CR14:CR17"/>
    <mergeCell ref="CS14:CS17"/>
    <mergeCell ref="CT14:CT17"/>
    <mergeCell ref="O14:O17"/>
    <mergeCell ref="P14:P17"/>
    <mergeCell ref="AO14:AO17"/>
    <mergeCell ref="CP18:CP21"/>
    <mergeCell ref="CQ18:CQ21"/>
    <mergeCell ref="A14:A17"/>
    <mergeCell ref="CR18:CR21"/>
    <mergeCell ref="C14:C17"/>
    <mergeCell ref="DD54:DD57"/>
    <mergeCell ref="DE54:DE57"/>
    <mergeCell ref="DF54:DF57"/>
    <mergeCell ref="F14:F17"/>
    <mergeCell ref="G14:G17"/>
    <mergeCell ref="H14:H17"/>
    <mergeCell ref="I14:I17"/>
    <mergeCell ref="J14:J17"/>
    <mergeCell ref="CM14:CM17"/>
    <mergeCell ref="CO14:CO17"/>
    <mergeCell ref="AJ14:AJ17"/>
    <mergeCell ref="AQ14:AQ17"/>
    <mergeCell ref="BA14:BA17"/>
    <mergeCell ref="BC14:BC17"/>
    <mergeCell ref="DD14:DD17"/>
    <mergeCell ref="CU14:CU17"/>
    <mergeCell ref="CV14:CV17"/>
    <mergeCell ref="CW14:CW17"/>
    <mergeCell ref="F42:F45"/>
    <mergeCell ref="G42:G45"/>
    <mergeCell ref="H42:H45"/>
    <mergeCell ref="CX54:CX57"/>
    <mergeCell ref="CY54:CY57"/>
    <mergeCell ref="CV46:CV49"/>
    <mergeCell ref="A54:A57"/>
    <mergeCell ref="C54:C57"/>
    <mergeCell ref="D54:D57"/>
    <mergeCell ref="E54:E57"/>
    <mergeCell ref="F54:F57"/>
    <mergeCell ref="G54:G57"/>
    <mergeCell ref="H54:H57"/>
    <mergeCell ref="I54:I57"/>
    <mergeCell ref="J54:J57"/>
    <mergeCell ref="K54:K57"/>
    <mergeCell ref="L54:L57"/>
    <mergeCell ref="M54:M57"/>
    <mergeCell ref="A46:A49"/>
    <mergeCell ref="C46:C49"/>
    <mergeCell ref="D46:D49"/>
    <mergeCell ref="E46:E49"/>
    <mergeCell ref="K46:K49"/>
    <mergeCell ref="L46:L49"/>
    <mergeCell ref="M46:M49"/>
    <mergeCell ref="F46:F49"/>
    <mergeCell ref="G46:G49"/>
    <mergeCell ref="H46:H49"/>
    <mergeCell ref="I46:I49"/>
    <mergeCell ref="A50:A53"/>
    <mergeCell ref="H50:H53"/>
    <mergeCell ref="B46:B49"/>
    <mergeCell ref="B50:B53"/>
    <mergeCell ref="B54:B57"/>
    <mergeCell ref="E50:E53"/>
    <mergeCell ref="F50:F53"/>
    <mergeCell ref="AL54:AL57"/>
    <mergeCell ref="CM54:CM57"/>
    <mergeCell ref="CO54:CO57"/>
    <mergeCell ref="CP54:CP57"/>
    <mergeCell ref="CQ54:CQ57"/>
    <mergeCell ref="AL50:AL53"/>
    <mergeCell ref="AQ46:AQ49"/>
    <mergeCell ref="BA46:BA49"/>
    <mergeCell ref="BC46:BC49"/>
    <mergeCell ref="O54:O57"/>
    <mergeCell ref="AD50:AD53"/>
    <mergeCell ref="CQ50:CQ53"/>
    <mergeCell ref="BA50:BA53"/>
    <mergeCell ref="BC50:BC53"/>
    <mergeCell ref="AB54:AB57"/>
    <mergeCell ref="AD54:AD57"/>
    <mergeCell ref="AJ54:AJ57"/>
    <mergeCell ref="X54:X57"/>
    <mergeCell ref="AJ50:AJ53"/>
    <mergeCell ref="AO54:AO57"/>
    <mergeCell ref="AN54:AN57"/>
    <mergeCell ref="CM46:CM49"/>
    <mergeCell ref="BC54:BC57"/>
    <mergeCell ref="CY26:CY29"/>
    <mergeCell ref="CZ26:CZ29"/>
    <mergeCell ref="DA26:DA29"/>
    <mergeCell ref="DB26:DB29"/>
    <mergeCell ref="CO38:CO41"/>
    <mergeCell ref="CX42:CX45"/>
    <mergeCell ref="CY42:CY45"/>
    <mergeCell ref="CP42:CP45"/>
    <mergeCell ref="DE46:DE49"/>
    <mergeCell ref="DF46:DF49"/>
    <mergeCell ref="CZ46:CZ49"/>
    <mergeCell ref="DA46:DA49"/>
    <mergeCell ref="DB46:DB49"/>
    <mergeCell ref="CY46:CY49"/>
    <mergeCell ref="DD46:DD49"/>
    <mergeCell ref="CX30:CX33"/>
    <mergeCell ref="CY30:CY33"/>
    <mergeCell ref="CZ30:CZ33"/>
    <mergeCell ref="DA30:DA33"/>
    <mergeCell ref="DB30:DB33"/>
    <mergeCell ref="CS30:CS33"/>
    <mergeCell ref="CO42:CO45"/>
    <mergeCell ref="DE42:DE45"/>
    <mergeCell ref="DF42:DF45"/>
    <mergeCell ref="CW46:CW49"/>
    <mergeCell ref="DC34:DC37"/>
    <mergeCell ref="DD34:DD37"/>
    <mergeCell ref="DE34:DE37"/>
    <mergeCell ref="DF34:DF37"/>
    <mergeCell ref="CQ42:CQ45"/>
    <mergeCell ref="CR42:CR45"/>
    <mergeCell ref="DB42:DB45"/>
    <mergeCell ref="CT10:CT13"/>
    <mergeCell ref="CU10:CU13"/>
    <mergeCell ref="CV10:CV13"/>
    <mergeCell ref="A42:A45"/>
    <mergeCell ref="C42:C45"/>
    <mergeCell ref="D42:D45"/>
    <mergeCell ref="E42:E45"/>
    <mergeCell ref="Q42:Q45"/>
    <mergeCell ref="X42:X45"/>
    <mergeCell ref="Z42:Z45"/>
    <mergeCell ref="AB42:AB45"/>
    <mergeCell ref="AD42:AD45"/>
    <mergeCell ref="K42:K45"/>
    <mergeCell ref="L42:L45"/>
    <mergeCell ref="M42:M45"/>
    <mergeCell ref="O42:O45"/>
    <mergeCell ref="P42:P45"/>
    <mergeCell ref="B42:B45"/>
    <mergeCell ref="CS26:CS29"/>
    <mergeCell ref="CT26:CT29"/>
    <mergeCell ref="CU26:CU29"/>
    <mergeCell ref="CV26:CV29"/>
    <mergeCell ref="AK42:AK45"/>
    <mergeCell ref="AB38:AB41"/>
    <mergeCell ref="X38:X41"/>
    <mergeCell ref="Z38:Z41"/>
    <mergeCell ref="O18:O21"/>
    <mergeCell ref="P18:P21"/>
    <mergeCell ref="Q18:Q21"/>
    <mergeCell ref="X18:X21"/>
    <mergeCell ref="Z18:Z21"/>
    <mergeCell ref="AM18:AM21"/>
    <mergeCell ref="CS10:CS13"/>
    <mergeCell ref="CS42:CS45"/>
    <mergeCell ref="CT42:CT45"/>
    <mergeCell ref="DD22:DD25"/>
    <mergeCell ref="AK34:AK37"/>
    <mergeCell ref="DC38:DC41"/>
    <mergeCell ref="G38:G41"/>
    <mergeCell ref="CW10:CW13"/>
    <mergeCell ref="AJ10:AJ13"/>
    <mergeCell ref="AQ10:AQ13"/>
    <mergeCell ref="CR50:CR53"/>
    <mergeCell ref="CS50:CS53"/>
    <mergeCell ref="CT50:CT53"/>
    <mergeCell ref="BA42:BA45"/>
    <mergeCell ref="BC42:BC45"/>
    <mergeCell ref="AJ30:AJ33"/>
    <mergeCell ref="AQ30:AQ33"/>
    <mergeCell ref="CQ46:CQ49"/>
    <mergeCell ref="CR46:CR49"/>
    <mergeCell ref="CS46:CS49"/>
    <mergeCell ref="CT46:CT49"/>
    <mergeCell ref="CR38:CR41"/>
    <mergeCell ref="CS38:CS41"/>
    <mergeCell ref="CM50:CM53"/>
    <mergeCell ref="CO50:CO53"/>
    <mergeCell ref="CX10:CX13"/>
    <mergeCell ref="CY10:CY13"/>
    <mergeCell ref="CM10:CM13"/>
    <mergeCell ref="DD42:DD45"/>
    <mergeCell ref="CU42:CU45"/>
    <mergeCell ref="CV42:CV45"/>
    <mergeCell ref="CW42:CW45"/>
    <mergeCell ref="A10:A13"/>
    <mergeCell ref="C10:C13"/>
    <mergeCell ref="D10:D13"/>
    <mergeCell ref="E10:E13"/>
    <mergeCell ref="F10:F13"/>
    <mergeCell ref="G10:G13"/>
    <mergeCell ref="H10:H13"/>
    <mergeCell ref="I10:I13"/>
    <mergeCell ref="J10:J13"/>
    <mergeCell ref="K10:K13"/>
    <mergeCell ref="L10:L13"/>
    <mergeCell ref="M10:M13"/>
    <mergeCell ref="CO22:CO25"/>
    <mergeCell ref="CP22:CP25"/>
    <mergeCell ref="CQ22:CQ25"/>
    <mergeCell ref="CR22:CR25"/>
    <mergeCell ref="CS22:CS25"/>
    <mergeCell ref="BC10:BC13"/>
    <mergeCell ref="AK10:AK13"/>
    <mergeCell ref="CO10:CO13"/>
    <mergeCell ref="CP10:CP13"/>
    <mergeCell ref="M14:M17"/>
    <mergeCell ref="AK14:AK17"/>
    <mergeCell ref="AL14:AL17"/>
    <mergeCell ref="AN14:AN17"/>
    <mergeCell ref="L14:L17"/>
    <mergeCell ref="F22:F25"/>
    <mergeCell ref="AJ22:AJ25"/>
    <mergeCell ref="AQ22:AQ25"/>
    <mergeCell ref="L22:L25"/>
    <mergeCell ref="AO18:AO21"/>
    <mergeCell ref="AK18:AK21"/>
    <mergeCell ref="DE22:DE25"/>
    <mergeCell ref="CY22:CY25"/>
    <mergeCell ref="CZ22:CZ25"/>
    <mergeCell ref="DA22:DA25"/>
    <mergeCell ref="DB22:DB25"/>
    <mergeCell ref="DC22:DC25"/>
    <mergeCell ref="CT22:CT25"/>
    <mergeCell ref="CU22:CU25"/>
    <mergeCell ref="CM22:CM25"/>
    <mergeCell ref="CV22:CV25"/>
    <mergeCell ref="CW22:CW25"/>
    <mergeCell ref="CX22:CX25"/>
    <mergeCell ref="AQ50:AQ53"/>
    <mergeCell ref="BA30:BA33"/>
    <mergeCell ref="BC30:BC33"/>
    <mergeCell ref="AB30:AB33"/>
    <mergeCell ref="AD30:AD33"/>
    <mergeCell ref="AB22:AB25"/>
    <mergeCell ref="BA22:BA25"/>
    <mergeCell ref="DD50:DD53"/>
    <mergeCell ref="DC46:DC49"/>
    <mergeCell ref="DB34:DB37"/>
    <mergeCell ref="DD26:DD29"/>
    <mergeCell ref="DE26:DE29"/>
    <mergeCell ref="DE38:DE41"/>
    <mergeCell ref="DD38:DD41"/>
    <mergeCell ref="BC38:BC41"/>
    <mergeCell ref="AQ38:AQ41"/>
    <mergeCell ref="AD38:AD41"/>
    <mergeCell ref="BA38:BA41"/>
    <mergeCell ref="CY38:CY41"/>
    <mergeCell ref="CW38:CW41"/>
    <mergeCell ref="I42:I45"/>
    <mergeCell ref="J42:J45"/>
    <mergeCell ref="CZ42:CZ45"/>
    <mergeCell ref="DA42:DA45"/>
    <mergeCell ref="CT38:CT41"/>
    <mergeCell ref="DE50:DE53"/>
    <mergeCell ref="DF50:DF53"/>
    <mergeCell ref="DA38:DA41"/>
    <mergeCell ref="DA34:DA37"/>
    <mergeCell ref="CW26:CW29"/>
    <mergeCell ref="CW30:CW33"/>
    <mergeCell ref="CR30:CR33"/>
    <mergeCell ref="CW34:CW37"/>
    <mergeCell ref="CX34:CX37"/>
    <mergeCell ref="AB50:AB53"/>
    <mergeCell ref="DF38:DF41"/>
    <mergeCell ref="DF26:DF29"/>
    <mergeCell ref="CX38:CX41"/>
    <mergeCell ref="CM30:CM33"/>
    <mergeCell ref="DC42:DC45"/>
    <mergeCell ref="DB38:DB41"/>
    <mergeCell ref="CM26:CM29"/>
    <mergeCell ref="CO26:CO29"/>
    <mergeCell ref="CP26:CP29"/>
    <mergeCell ref="CQ26:CQ29"/>
    <mergeCell ref="CR26:CR29"/>
    <mergeCell ref="CU30:CU33"/>
    <mergeCell ref="CV30:CV33"/>
    <mergeCell ref="CX26:CX29"/>
    <mergeCell ref="J30:J33"/>
    <mergeCell ref="X50:X53"/>
    <mergeCell ref="Z50:Z53"/>
    <mergeCell ref="G34:G37"/>
    <mergeCell ref="I22:I25"/>
    <mergeCell ref="CO30:CO33"/>
    <mergeCell ref="CZ50:CZ53"/>
    <mergeCell ref="DA50:DA53"/>
    <mergeCell ref="DB50:DB53"/>
    <mergeCell ref="A34:A37"/>
    <mergeCell ref="C34:C37"/>
    <mergeCell ref="Z34:Z37"/>
    <mergeCell ref="AB34:AB37"/>
    <mergeCell ref="CV34:CV37"/>
    <mergeCell ref="CM34:CM37"/>
    <mergeCell ref="CO34:CO37"/>
    <mergeCell ref="CP34:CP37"/>
    <mergeCell ref="M26:M29"/>
    <mergeCell ref="AB26:AB29"/>
    <mergeCell ref="AD26:AD29"/>
    <mergeCell ref="AJ26:AJ29"/>
    <mergeCell ref="AQ26:AQ29"/>
    <mergeCell ref="O26:O29"/>
    <mergeCell ref="P26:P29"/>
    <mergeCell ref="Q26:Q29"/>
    <mergeCell ref="M30:M33"/>
    <mergeCell ref="C50:C53"/>
    <mergeCell ref="D50:D53"/>
    <mergeCell ref="CU50:CU53"/>
    <mergeCell ref="CV50:CV53"/>
    <mergeCell ref="CW50:CW53"/>
    <mergeCell ref="E38:E41"/>
    <mergeCell ref="I38:I41"/>
    <mergeCell ref="F38:F41"/>
    <mergeCell ref="G50:G53"/>
    <mergeCell ref="C38:C41"/>
    <mergeCell ref="AJ38:AJ41"/>
    <mergeCell ref="H38:H41"/>
    <mergeCell ref="CQ38:CQ41"/>
    <mergeCell ref="K34:K37"/>
    <mergeCell ref="CQ34:CQ37"/>
    <mergeCell ref="BA34:BA37"/>
    <mergeCell ref="AD34:AD37"/>
    <mergeCell ref="AJ34:AJ37"/>
    <mergeCell ref="CR34:CR37"/>
    <mergeCell ref="CS34:CS37"/>
    <mergeCell ref="O30:O33"/>
    <mergeCell ref="P30:P33"/>
    <mergeCell ref="Q30:Q33"/>
    <mergeCell ref="X30:X33"/>
    <mergeCell ref="Z30:Z33"/>
    <mergeCell ref="AK30:AK33"/>
    <mergeCell ref="O38:O41"/>
    <mergeCell ref="CP38:CP41"/>
    <mergeCell ref="D30:D33"/>
    <mergeCell ref="E30:E33"/>
    <mergeCell ref="K30:K33"/>
    <mergeCell ref="L30:L33"/>
    <mergeCell ref="BC34:BC37"/>
    <mergeCell ref="AM34:AM37"/>
    <mergeCell ref="H34:H37"/>
    <mergeCell ref="L38:L41"/>
    <mergeCell ref="E34:E37"/>
    <mergeCell ref="F34:F37"/>
    <mergeCell ref="J34:J37"/>
    <mergeCell ref="K38:K41"/>
    <mergeCell ref="AN34:AN37"/>
    <mergeCell ref="G22:G25"/>
    <mergeCell ref="H22:H25"/>
    <mergeCell ref="K22:K25"/>
    <mergeCell ref="CP30:CP33"/>
    <mergeCell ref="CQ30:CQ33"/>
    <mergeCell ref="A22:A25"/>
    <mergeCell ref="C22:C25"/>
    <mergeCell ref="D22:D25"/>
    <mergeCell ref="D38:D41"/>
    <mergeCell ref="A38:A41"/>
    <mergeCell ref="A26:A29"/>
    <mergeCell ref="C26:C29"/>
    <mergeCell ref="D26:D29"/>
    <mergeCell ref="E26:E29"/>
    <mergeCell ref="F26:F29"/>
    <mergeCell ref="G26:G29"/>
    <mergeCell ref="H26:H29"/>
    <mergeCell ref="I26:I29"/>
    <mergeCell ref="J26:J29"/>
    <mergeCell ref="J22:J25"/>
    <mergeCell ref="E22:E25"/>
    <mergeCell ref="L34:L37"/>
    <mergeCell ref="K26:K29"/>
    <mergeCell ref="A30:A33"/>
    <mergeCell ref="C30:C33"/>
    <mergeCell ref="F30:F33"/>
    <mergeCell ref="G30:G33"/>
    <mergeCell ref="H30:H33"/>
    <mergeCell ref="I30:I33"/>
    <mergeCell ref="B34:B37"/>
    <mergeCell ref="B38:B41"/>
    <mergeCell ref="D34:D37"/>
    <mergeCell ref="DF22:DF25"/>
    <mergeCell ref="BC22:BC25"/>
    <mergeCell ref="M34:M37"/>
    <mergeCell ref="O34:O37"/>
    <mergeCell ref="P34:P37"/>
    <mergeCell ref="Q34:Q37"/>
    <mergeCell ref="AM10:AM13"/>
    <mergeCell ref="AM14:AM17"/>
    <mergeCell ref="AN10:AN13"/>
    <mergeCell ref="AL10:AL13"/>
    <mergeCell ref="AL42:AL45"/>
    <mergeCell ref="AL26:AL29"/>
    <mergeCell ref="AL46:AL49"/>
    <mergeCell ref="AO22:AO25"/>
    <mergeCell ref="AO10:AO13"/>
    <mergeCell ref="X34:X37"/>
    <mergeCell ref="CM38:CM41"/>
    <mergeCell ref="CV38:CV41"/>
    <mergeCell ref="N42:N45"/>
    <mergeCell ref="AM42:AM45"/>
    <mergeCell ref="AM26:AM29"/>
    <mergeCell ref="X26:X29"/>
    <mergeCell ref="Z26:Z29"/>
    <mergeCell ref="AJ46:AJ49"/>
    <mergeCell ref="CU38:CU41"/>
    <mergeCell ref="AQ42:AQ45"/>
    <mergeCell ref="AQ34:AQ37"/>
    <mergeCell ref="BA26:BA29"/>
    <mergeCell ref="BC26:BC29"/>
    <mergeCell ref="AN22:AN25"/>
    <mergeCell ref="AL22:AL25"/>
    <mergeCell ref="AL34:AL37"/>
    <mergeCell ref="AM30:AM33"/>
    <mergeCell ref="AO30:AO33"/>
    <mergeCell ref="N14:N17"/>
    <mergeCell ref="N18:N21"/>
    <mergeCell ref="I50:I53"/>
    <mergeCell ref="J50:J53"/>
    <mergeCell ref="K50:K53"/>
    <mergeCell ref="L50:L53"/>
    <mergeCell ref="M50:M53"/>
    <mergeCell ref="Q50:Q53"/>
    <mergeCell ref="I34:I37"/>
    <mergeCell ref="N38:N41"/>
    <mergeCell ref="AO50:AO53"/>
    <mergeCell ref="N46:N49"/>
    <mergeCell ref="O50:O53"/>
    <mergeCell ref="AN38:AN41"/>
    <mergeCell ref="N26:N29"/>
    <mergeCell ref="AK50:AK53"/>
    <mergeCell ref="AK26:AK29"/>
    <mergeCell ref="AK46:AK49"/>
    <mergeCell ref="P38:P41"/>
    <mergeCell ref="Q38:Q41"/>
    <mergeCell ref="AK22:AK25"/>
    <mergeCell ref="M22:M25"/>
    <mergeCell ref="O22:O25"/>
    <mergeCell ref="L26:L29"/>
    <mergeCell ref="AD22:AD25"/>
    <mergeCell ref="AN18:AN21"/>
    <mergeCell ref="M38:M41"/>
    <mergeCell ref="J38:J41"/>
    <mergeCell ref="AK38:AK41"/>
    <mergeCell ref="AM38:AM41"/>
    <mergeCell ref="AB10:AB13"/>
    <mergeCell ref="AD10:AD13"/>
    <mergeCell ref="AB46:AB49"/>
    <mergeCell ref="AD46:AD49"/>
    <mergeCell ref="O46:O49"/>
    <mergeCell ref="P46:P49"/>
    <mergeCell ref="AM46:AM49"/>
    <mergeCell ref="N6:N9"/>
    <mergeCell ref="N30:N33"/>
    <mergeCell ref="N22:N25"/>
    <mergeCell ref="N34:N37"/>
    <mergeCell ref="N50:N53"/>
    <mergeCell ref="N10:N13"/>
    <mergeCell ref="AO26:AO29"/>
    <mergeCell ref="AO46:AO49"/>
    <mergeCell ref="AN50:AN53"/>
    <mergeCell ref="AN42:AN45"/>
    <mergeCell ref="AN26:AN29"/>
    <mergeCell ref="AN46:AN49"/>
    <mergeCell ref="P22:P25"/>
    <mergeCell ref="Q22:Q25"/>
    <mergeCell ref="X22:X25"/>
    <mergeCell ref="Z22:Z25"/>
    <mergeCell ref="X46:X49"/>
    <mergeCell ref="Z46:Z49"/>
    <mergeCell ref="Q6:Q9"/>
    <mergeCell ref="X6:X9"/>
    <mergeCell ref="Z6:Z9"/>
    <mergeCell ref="O6:O9"/>
    <mergeCell ref="P6:P9"/>
    <mergeCell ref="AM6:AM9"/>
    <mergeCell ref="AM22:AM25"/>
    <mergeCell ref="A58:A61"/>
    <mergeCell ref="C58:C61"/>
    <mergeCell ref="D58:D61"/>
    <mergeCell ref="E58:E61"/>
    <mergeCell ref="F58:F61"/>
    <mergeCell ref="G58:G61"/>
    <mergeCell ref="H58:H61"/>
    <mergeCell ref="I58:I61"/>
    <mergeCell ref="J58:J61"/>
    <mergeCell ref="K58:K61"/>
    <mergeCell ref="L58:L61"/>
    <mergeCell ref="M58:M61"/>
    <mergeCell ref="N58:N61"/>
    <mergeCell ref="O58:O61"/>
    <mergeCell ref="P58:P61"/>
    <mergeCell ref="Q58:Q61"/>
    <mergeCell ref="AK58:AK61"/>
    <mergeCell ref="B58:B61"/>
    <mergeCell ref="AO38:AO41"/>
    <mergeCell ref="AL38:AL41"/>
    <mergeCell ref="AM50:AM53"/>
    <mergeCell ref="CX58:CX61"/>
    <mergeCell ref="CY58:CY61"/>
    <mergeCell ref="CZ58:CZ61"/>
    <mergeCell ref="DA58:DA61"/>
    <mergeCell ref="DB58:DB61"/>
    <mergeCell ref="DC58:DC61"/>
    <mergeCell ref="DD58:DD61"/>
    <mergeCell ref="DE58:DE61"/>
    <mergeCell ref="DC50:DC53"/>
    <mergeCell ref="CU34:CU37"/>
    <mergeCell ref="CX50:CX53"/>
    <mergeCell ref="CY50:CY53"/>
    <mergeCell ref="CP50:CP53"/>
    <mergeCell ref="CM42:CM45"/>
    <mergeCell ref="CO46:CO49"/>
    <mergeCell ref="CN50:CN53"/>
    <mergeCell ref="CN54:CN57"/>
    <mergeCell ref="DB54:DB57"/>
    <mergeCell ref="CS54:CS57"/>
    <mergeCell ref="CT54:CT57"/>
    <mergeCell ref="CR54:CR57"/>
    <mergeCell ref="BA54:BA57"/>
    <mergeCell ref="CT34:CT37"/>
    <mergeCell ref="CZ54:CZ57"/>
    <mergeCell ref="DA54:DA57"/>
    <mergeCell ref="DC54:DC57"/>
    <mergeCell ref="AJ42:AJ45"/>
    <mergeCell ref="P50:P53"/>
    <mergeCell ref="AO42:AO45"/>
    <mergeCell ref="Q46:Q49"/>
    <mergeCell ref="DF58:DF61"/>
    <mergeCell ref="Z58:Z61"/>
    <mergeCell ref="AB58:AB61"/>
    <mergeCell ref="AD58:AD61"/>
    <mergeCell ref="AJ58:AJ61"/>
    <mergeCell ref="AQ58:AQ61"/>
    <mergeCell ref="BA58:BA61"/>
    <mergeCell ref="BC58:BC61"/>
    <mergeCell ref="CM58:CM61"/>
    <mergeCell ref="CO58:CO61"/>
    <mergeCell ref="CP58:CP61"/>
    <mergeCell ref="CU58:CU61"/>
    <mergeCell ref="CV58:CV61"/>
    <mergeCell ref="CW58:CW61"/>
    <mergeCell ref="CQ58:CQ61"/>
    <mergeCell ref="CR58:CR61"/>
    <mergeCell ref="CS58:CS61"/>
    <mergeCell ref="CT58:CT61"/>
    <mergeCell ref="CN58:CN61"/>
    <mergeCell ref="A62:A65"/>
    <mergeCell ref="B62:B65"/>
    <mergeCell ref="C62:C65"/>
    <mergeCell ref="D62:D65"/>
    <mergeCell ref="E62:E65"/>
    <mergeCell ref="F62:F65"/>
    <mergeCell ref="G62:G65"/>
    <mergeCell ref="I62:I65"/>
    <mergeCell ref="CU93:CU96"/>
    <mergeCell ref="CV93:CV96"/>
    <mergeCell ref="CW93:CW96"/>
    <mergeCell ref="CX93:CX96"/>
    <mergeCell ref="A93:A96"/>
    <mergeCell ref="B93:B96"/>
    <mergeCell ref="C93:C96"/>
    <mergeCell ref="D93:D96"/>
    <mergeCell ref="E93:E96"/>
    <mergeCell ref="F93:F96"/>
    <mergeCell ref="G93:G96"/>
    <mergeCell ref="H93:H96"/>
    <mergeCell ref="I93:I96"/>
    <mergeCell ref="J93:J96"/>
    <mergeCell ref="K93:K96"/>
    <mergeCell ref="L93:L96"/>
    <mergeCell ref="M93:M96"/>
    <mergeCell ref="N93:N96"/>
    <mergeCell ref="O93:O96"/>
    <mergeCell ref="P93:P96"/>
    <mergeCell ref="Q93:Q96"/>
    <mergeCell ref="BA62:BA65"/>
    <mergeCell ref="BC62:BC65"/>
    <mergeCell ref="CM62:CM65"/>
    <mergeCell ref="CY93:CY96"/>
    <mergeCell ref="CZ93:CZ96"/>
    <mergeCell ref="DA93:DA96"/>
    <mergeCell ref="AK93:AK96"/>
    <mergeCell ref="AL93:AL96"/>
    <mergeCell ref="AM93:AM96"/>
    <mergeCell ref="AN93:AN96"/>
    <mergeCell ref="AO93:AO96"/>
    <mergeCell ref="X93:X96"/>
    <mergeCell ref="Z93:Z96"/>
    <mergeCell ref="AB93:AB96"/>
    <mergeCell ref="AD93:AD96"/>
    <mergeCell ref="AJ93:AJ96"/>
    <mergeCell ref="AQ93:AQ96"/>
    <mergeCell ref="BA93:BA96"/>
    <mergeCell ref="BC93:BC96"/>
    <mergeCell ref="DB93:DB96"/>
    <mergeCell ref="CP93:CP96"/>
    <mergeCell ref="CQ93:CQ96"/>
    <mergeCell ref="CR93:CR96"/>
    <mergeCell ref="CS93:CS96"/>
    <mergeCell ref="CT93:CT96"/>
    <mergeCell ref="CN93:CN96"/>
    <mergeCell ref="DC93:DC96"/>
    <mergeCell ref="DD93:DD96"/>
    <mergeCell ref="DE93:DE96"/>
    <mergeCell ref="DF93:DF96"/>
    <mergeCell ref="A97:A100"/>
    <mergeCell ref="B97:B100"/>
    <mergeCell ref="C97:C100"/>
    <mergeCell ref="D97:D100"/>
    <mergeCell ref="E97:E100"/>
    <mergeCell ref="F97:F100"/>
    <mergeCell ref="G97:G100"/>
    <mergeCell ref="H97:H100"/>
    <mergeCell ref="I97:I100"/>
    <mergeCell ref="J97:J100"/>
    <mergeCell ref="K97:K100"/>
    <mergeCell ref="L97:L100"/>
    <mergeCell ref="M97:M100"/>
    <mergeCell ref="N97:N100"/>
    <mergeCell ref="O97:O100"/>
    <mergeCell ref="P97:P100"/>
    <mergeCell ref="Q97:Q100"/>
    <mergeCell ref="AK97:AK100"/>
    <mergeCell ref="AL97:AL100"/>
    <mergeCell ref="AM97:AM100"/>
    <mergeCell ref="AN97:AN100"/>
    <mergeCell ref="CM93:CM96"/>
    <mergeCell ref="CO93:CO96"/>
    <mergeCell ref="CT97:CT100"/>
    <mergeCell ref="CU97:CU100"/>
    <mergeCell ref="CV97:CV100"/>
    <mergeCell ref="CW97:CW100"/>
    <mergeCell ref="CX97:CX100"/>
    <mergeCell ref="CY97:CY100"/>
    <mergeCell ref="CZ97:CZ100"/>
    <mergeCell ref="DA97:DA100"/>
    <mergeCell ref="DB97:DB100"/>
    <mergeCell ref="DC97:DC100"/>
    <mergeCell ref="DD97:DD100"/>
    <mergeCell ref="DE97:DE100"/>
    <mergeCell ref="AO97:AO100"/>
    <mergeCell ref="X97:X100"/>
    <mergeCell ref="Z97:Z100"/>
    <mergeCell ref="AB97:AB100"/>
    <mergeCell ref="AD97:AD100"/>
    <mergeCell ref="AJ97:AJ100"/>
    <mergeCell ref="AQ97:AQ100"/>
    <mergeCell ref="BA97:BA100"/>
    <mergeCell ref="BC97:BC100"/>
    <mergeCell ref="CM97:CM100"/>
    <mergeCell ref="CN97:CN100"/>
    <mergeCell ref="DF97:DF100"/>
    <mergeCell ref="A101:A104"/>
    <mergeCell ref="B101:B104"/>
    <mergeCell ref="C101:C104"/>
    <mergeCell ref="D101:D104"/>
    <mergeCell ref="E101:E104"/>
    <mergeCell ref="F101:F104"/>
    <mergeCell ref="G101:G104"/>
    <mergeCell ref="H101:H104"/>
    <mergeCell ref="I101:I104"/>
    <mergeCell ref="J101:J104"/>
    <mergeCell ref="K101:K104"/>
    <mergeCell ref="L101:L104"/>
    <mergeCell ref="M101:M104"/>
    <mergeCell ref="N101:N104"/>
    <mergeCell ref="O101:O104"/>
    <mergeCell ref="P101:P104"/>
    <mergeCell ref="Q101:Q104"/>
    <mergeCell ref="AK101:AK104"/>
    <mergeCell ref="AL101:AL104"/>
    <mergeCell ref="AM101:AM104"/>
    <mergeCell ref="AN101:AN104"/>
    <mergeCell ref="AO101:AO104"/>
    <mergeCell ref="X101:X104"/>
    <mergeCell ref="Z101:Z104"/>
    <mergeCell ref="CO97:CO100"/>
    <mergeCell ref="CP97:CP100"/>
    <mergeCell ref="CQ97:CQ100"/>
    <mergeCell ref="CR97:CR100"/>
    <mergeCell ref="CS97:CS100"/>
    <mergeCell ref="DA101:DA104"/>
    <mergeCell ref="DB101:DB104"/>
    <mergeCell ref="DC101:DC104"/>
    <mergeCell ref="DD101:DD104"/>
    <mergeCell ref="DE101:DE104"/>
    <mergeCell ref="DF101:DF104"/>
    <mergeCell ref="AB101:AB104"/>
    <mergeCell ref="AD101:AD104"/>
    <mergeCell ref="AJ101:AJ104"/>
    <mergeCell ref="AQ101:AQ104"/>
    <mergeCell ref="BA101:BA104"/>
    <mergeCell ref="BC101:BC104"/>
    <mergeCell ref="CM101:CM104"/>
    <mergeCell ref="CO101:CO104"/>
    <mergeCell ref="CP101:CP104"/>
    <mergeCell ref="CQ101:CQ104"/>
    <mergeCell ref="CR101:CR104"/>
    <mergeCell ref="AN105:AN108"/>
    <mergeCell ref="AO105:AO108"/>
    <mergeCell ref="AB105:AB108"/>
    <mergeCell ref="AD105:AD108"/>
    <mergeCell ref="AJ105:AJ108"/>
    <mergeCell ref="CS101:CS104"/>
    <mergeCell ref="CT101:CT104"/>
    <mergeCell ref="CU101:CU104"/>
    <mergeCell ref="CV101:CV104"/>
    <mergeCell ref="CW101:CW104"/>
    <mergeCell ref="CX101:CX104"/>
    <mergeCell ref="CY101:CY104"/>
    <mergeCell ref="CZ101:CZ104"/>
    <mergeCell ref="CM105:CM108"/>
    <mergeCell ref="CO105:CO108"/>
    <mergeCell ref="CN101:CN104"/>
    <mergeCell ref="CN105:CN108"/>
    <mergeCell ref="CP105:CP108"/>
    <mergeCell ref="CQ105:CQ108"/>
    <mergeCell ref="CR105:CR108"/>
    <mergeCell ref="CS105:CS108"/>
    <mergeCell ref="CT105:CT108"/>
    <mergeCell ref="CU105:CU108"/>
    <mergeCell ref="CV105:CV108"/>
    <mergeCell ref="BC105:BC108"/>
    <mergeCell ref="A105:A108"/>
    <mergeCell ref="B105:B108"/>
    <mergeCell ref="C105:C108"/>
    <mergeCell ref="D105:D108"/>
    <mergeCell ref="E105:E108"/>
    <mergeCell ref="F105:F108"/>
    <mergeCell ref="G105:G108"/>
    <mergeCell ref="H105:H108"/>
    <mergeCell ref="I105:I108"/>
    <mergeCell ref="J105:J108"/>
    <mergeCell ref="K105:K108"/>
    <mergeCell ref="L105:L108"/>
    <mergeCell ref="M105:M108"/>
    <mergeCell ref="N105:N108"/>
    <mergeCell ref="O105:O108"/>
    <mergeCell ref="P105:P108"/>
    <mergeCell ref="Q105:Q108"/>
    <mergeCell ref="AK105:AK108"/>
    <mergeCell ref="AL105:AL108"/>
    <mergeCell ref="AM105:AM108"/>
    <mergeCell ref="X105:X108"/>
    <mergeCell ref="Z105:Z108"/>
    <mergeCell ref="CW105:CW108"/>
    <mergeCell ref="CX105:CX108"/>
    <mergeCell ref="CY105:CY108"/>
    <mergeCell ref="CZ105:CZ108"/>
    <mergeCell ref="DA105:DA108"/>
    <mergeCell ref="DB105:DB108"/>
    <mergeCell ref="DC105:DC108"/>
    <mergeCell ref="DD105:DD108"/>
    <mergeCell ref="DE105:DE108"/>
    <mergeCell ref="DF105:DF108"/>
    <mergeCell ref="A109:A112"/>
    <mergeCell ref="B109:B112"/>
    <mergeCell ref="C109:C112"/>
    <mergeCell ref="D109:D112"/>
    <mergeCell ref="E109:E112"/>
    <mergeCell ref="F109:F112"/>
    <mergeCell ref="G109:G112"/>
    <mergeCell ref="H109:H112"/>
    <mergeCell ref="I109:I112"/>
    <mergeCell ref="J109:J112"/>
    <mergeCell ref="K109:K112"/>
    <mergeCell ref="L109:L112"/>
    <mergeCell ref="M109:M112"/>
    <mergeCell ref="N109:N112"/>
    <mergeCell ref="O109:O112"/>
    <mergeCell ref="P109:P112"/>
    <mergeCell ref="AQ105:AQ108"/>
    <mergeCell ref="BA105:BA108"/>
    <mergeCell ref="CO109:CO112"/>
    <mergeCell ref="CP109:CP112"/>
    <mergeCell ref="CQ109:CQ112"/>
    <mergeCell ref="CR109:CR112"/>
    <mergeCell ref="CS109:CS112"/>
    <mergeCell ref="CT109:CT112"/>
    <mergeCell ref="CU109:CU112"/>
    <mergeCell ref="CV109:CV112"/>
    <mergeCell ref="CW109:CW112"/>
    <mergeCell ref="CX109:CX112"/>
    <mergeCell ref="CY109:CY112"/>
    <mergeCell ref="CZ109:CZ112"/>
    <mergeCell ref="Q109:Q112"/>
    <mergeCell ref="AK109:AK112"/>
    <mergeCell ref="AL109:AL112"/>
    <mergeCell ref="AM109:AM112"/>
    <mergeCell ref="AN109:AN112"/>
    <mergeCell ref="AO109:AO112"/>
    <mergeCell ref="X109:X112"/>
    <mergeCell ref="Z109:Z112"/>
    <mergeCell ref="AB109:AB112"/>
    <mergeCell ref="AD109:AD112"/>
    <mergeCell ref="AJ109:AJ112"/>
    <mergeCell ref="AQ109:AQ112"/>
    <mergeCell ref="BA109:BA112"/>
    <mergeCell ref="BC109:BC112"/>
    <mergeCell ref="CN109:CN112"/>
    <mergeCell ref="DA109:DA112"/>
    <mergeCell ref="DB109:DB112"/>
    <mergeCell ref="DC109:DC112"/>
    <mergeCell ref="DD109:DD112"/>
    <mergeCell ref="DE109:DE112"/>
    <mergeCell ref="DF109:DF112"/>
    <mergeCell ref="A113:A116"/>
    <mergeCell ref="B113:B116"/>
    <mergeCell ref="C113:C116"/>
    <mergeCell ref="D113:D116"/>
    <mergeCell ref="E113:E116"/>
    <mergeCell ref="F113:F116"/>
    <mergeCell ref="G113:G116"/>
    <mergeCell ref="H113:H116"/>
    <mergeCell ref="I113:I116"/>
    <mergeCell ref="J113:J116"/>
    <mergeCell ref="K113:K116"/>
    <mergeCell ref="L113:L116"/>
    <mergeCell ref="M113:M116"/>
    <mergeCell ref="N113:N116"/>
    <mergeCell ref="O113:O116"/>
    <mergeCell ref="P113:P116"/>
    <mergeCell ref="Q113:Q116"/>
    <mergeCell ref="AK113:AK116"/>
    <mergeCell ref="AL113:AL116"/>
    <mergeCell ref="AM113:AM116"/>
    <mergeCell ref="CM109:CM112"/>
    <mergeCell ref="CS113:CS116"/>
    <mergeCell ref="CT113:CT116"/>
    <mergeCell ref="CU113:CU116"/>
    <mergeCell ref="CV113:CV116"/>
    <mergeCell ref="CW113:CW116"/>
    <mergeCell ref="CX113:CX116"/>
    <mergeCell ref="CY113:CY116"/>
    <mergeCell ref="CZ113:CZ116"/>
    <mergeCell ref="DA113:DA116"/>
    <mergeCell ref="DB113:DB116"/>
    <mergeCell ref="DC113:DC116"/>
    <mergeCell ref="DD113:DD116"/>
    <mergeCell ref="AN113:AN116"/>
    <mergeCell ref="AO113:AO116"/>
    <mergeCell ref="X113:X116"/>
    <mergeCell ref="Z113:Z116"/>
    <mergeCell ref="AB113:AB116"/>
    <mergeCell ref="AD113:AD116"/>
    <mergeCell ref="AJ113:AJ116"/>
    <mergeCell ref="AQ113:AQ116"/>
    <mergeCell ref="BA113:BA116"/>
    <mergeCell ref="BC113:BC116"/>
    <mergeCell ref="CN113:CN116"/>
    <mergeCell ref="DE113:DE116"/>
    <mergeCell ref="DF113:DF116"/>
    <mergeCell ref="A117:A120"/>
    <mergeCell ref="B117:B120"/>
    <mergeCell ref="C117:C120"/>
    <mergeCell ref="D117:D120"/>
    <mergeCell ref="E117:E120"/>
    <mergeCell ref="F117:F120"/>
    <mergeCell ref="G117:G120"/>
    <mergeCell ref="H117:H120"/>
    <mergeCell ref="I117:I120"/>
    <mergeCell ref="J117:J120"/>
    <mergeCell ref="K117:K120"/>
    <mergeCell ref="L117:L120"/>
    <mergeCell ref="M117:M120"/>
    <mergeCell ref="N117:N120"/>
    <mergeCell ref="O117:O120"/>
    <mergeCell ref="P117:P120"/>
    <mergeCell ref="Q117:Q120"/>
    <mergeCell ref="AK117:AK120"/>
    <mergeCell ref="AL117:AL120"/>
    <mergeCell ref="AM117:AM120"/>
    <mergeCell ref="AN117:AN120"/>
    <mergeCell ref="AO117:AO120"/>
    <mergeCell ref="X117:X120"/>
    <mergeCell ref="Z117:Z120"/>
    <mergeCell ref="CM113:CM116"/>
    <mergeCell ref="CO113:CO116"/>
    <mergeCell ref="CP113:CP116"/>
    <mergeCell ref="CQ113:CQ116"/>
    <mergeCell ref="CR113:CR116"/>
    <mergeCell ref="CX117:CX120"/>
    <mergeCell ref="CY117:CY120"/>
    <mergeCell ref="CZ117:CZ120"/>
    <mergeCell ref="DA117:DA120"/>
    <mergeCell ref="DB117:DB120"/>
    <mergeCell ref="DC117:DC120"/>
    <mergeCell ref="DD117:DD120"/>
    <mergeCell ref="DE117:DE120"/>
    <mergeCell ref="DF117:DF120"/>
    <mergeCell ref="AB117:AB120"/>
    <mergeCell ref="AD117:AD120"/>
    <mergeCell ref="AJ117:AJ120"/>
    <mergeCell ref="AQ117:AQ120"/>
    <mergeCell ref="BA117:BA120"/>
    <mergeCell ref="BC117:BC120"/>
    <mergeCell ref="CM117:CM120"/>
    <mergeCell ref="CO117:CO120"/>
    <mergeCell ref="CP117:CP120"/>
    <mergeCell ref="CQ117:CQ120"/>
    <mergeCell ref="CN117:CN120"/>
    <mergeCell ref="X129:X132"/>
    <mergeCell ref="Z129:Z132"/>
    <mergeCell ref="AB129:AB132"/>
    <mergeCell ref="AD129:AD132"/>
    <mergeCell ref="CR117:CR120"/>
    <mergeCell ref="CS117:CS120"/>
    <mergeCell ref="CT117:CT120"/>
    <mergeCell ref="CU117:CU120"/>
    <mergeCell ref="CV117:CV120"/>
    <mergeCell ref="CW117:CW120"/>
    <mergeCell ref="CV129:CV132"/>
    <mergeCell ref="CW129:CW132"/>
    <mergeCell ref="CO125:CO128"/>
    <mergeCell ref="CP125:CP128"/>
    <mergeCell ref="CQ125:CQ128"/>
    <mergeCell ref="CR125:CR128"/>
    <mergeCell ref="CS125:CS128"/>
    <mergeCell ref="CT125:CT128"/>
    <mergeCell ref="CU125:CU128"/>
    <mergeCell ref="CV125:CV128"/>
    <mergeCell ref="CW125:CW128"/>
    <mergeCell ref="CR121:CR124"/>
    <mergeCell ref="CS121:CS124"/>
    <mergeCell ref="CT121:CT124"/>
    <mergeCell ref="CU121:CU124"/>
    <mergeCell ref="X125:X128"/>
    <mergeCell ref="Z125:Z128"/>
    <mergeCell ref="CN121:CN124"/>
    <mergeCell ref="CN125:CN128"/>
    <mergeCell ref="CN129:CN132"/>
    <mergeCell ref="X121:X124"/>
    <mergeCell ref="Z121:Z124"/>
    <mergeCell ref="A129:A132"/>
    <mergeCell ref="B129:B132"/>
    <mergeCell ref="C129:C132"/>
    <mergeCell ref="D129:D132"/>
    <mergeCell ref="E129:E132"/>
    <mergeCell ref="F129:F132"/>
    <mergeCell ref="G129:G132"/>
    <mergeCell ref="H129:H132"/>
    <mergeCell ref="I129:I132"/>
    <mergeCell ref="J129:J132"/>
    <mergeCell ref="K129:K132"/>
    <mergeCell ref="L129:L132"/>
    <mergeCell ref="M129:M132"/>
    <mergeCell ref="N129:N132"/>
    <mergeCell ref="O129:O132"/>
    <mergeCell ref="P129:P132"/>
    <mergeCell ref="Q129:Q132"/>
    <mergeCell ref="CX129:CX132"/>
    <mergeCell ref="CY129:CY132"/>
    <mergeCell ref="CZ129:CZ132"/>
    <mergeCell ref="DA129:DA132"/>
    <mergeCell ref="DB129:DB132"/>
    <mergeCell ref="DC129:DC132"/>
    <mergeCell ref="DD129:DD132"/>
    <mergeCell ref="DE129:DE132"/>
    <mergeCell ref="DF129:DF132"/>
    <mergeCell ref="AJ129:AJ132"/>
    <mergeCell ref="AQ129:AQ132"/>
    <mergeCell ref="BA129:BA132"/>
    <mergeCell ref="BC129:BC132"/>
    <mergeCell ref="CM129:CM132"/>
    <mergeCell ref="CO129:CO132"/>
    <mergeCell ref="CP129:CP132"/>
    <mergeCell ref="CQ129:CQ132"/>
    <mergeCell ref="CR129:CR132"/>
    <mergeCell ref="CS129:CS132"/>
    <mergeCell ref="CT129:CT132"/>
    <mergeCell ref="CU129:CU132"/>
    <mergeCell ref="AK129:AK132"/>
    <mergeCell ref="AL129:AL132"/>
    <mergeCell ref="AM129:AM132"/>
    <mergeCell ref="AN129:AN132"/>
    <mergeCell ref="AO129:AO132"/>
    <mergeCell ref="X133:X136"/>
    <mergeCell ref="Z133:Z136"/>
    <mergeCell ref="AB133:AB136"/>
    <mergeCell ref="AD133:AD136"/>
    <mergeCell ref="AJ133:AJ136"/>
    <mergeCell ref="AQ133:AQ136"/>
    <mergeCell ref="BA133:BA136"/>
    <mergeCell ref="BC133:BC136"/>
    <mergeCell ref="CN133:CN136"/>
    <mergeCell ref="A133:A136"/>
    <mergeCell ref="B133:B136"/>
    <mergeCell ref="C133:C136"/>
    <mergeCell ref="D133:D136"/>
    <mergeCell ref="E133:E136"/>
    <mergeCell ref="F133:F136"/>
    <mergeCell ref="G133:G136"/>
    <mergeCell ref="H133:H136"/>
    <mergeCell ref="I133:I136"/>
    <mergeCell ref="J133:J136"/>
    <mergeCell ref="K133:K136"/>
    <mergeCell ref="L133:L136"/>
    <mergeCell ref="M133:M136"/>
    <mergeCell ref="N133:N136"/>
    <mergeCell ref="O133:O136"/>
    <mergeCell ref="P133:P136"/>
    <mergeCell ref="Q133:Q136"/>
    <mergeCell ref="CP133:CP136"/>
    <mergeCell ref="CQ133:CQ136"/>
    <mergeCell ref="CR133:CR136"/>
    <mergeCell ref="CS133:CS136"/>
    <mergeCell ref="CT133:CT136"/>
    <mergeCell ref="CU133:CU136"/>
    <mergeCell ref="CV133:CV136"/>
    <mergeCell ref="CW133:CW136"/>
    <mergeCell ref="CX133:CX136"/>
    <mergeCell ref="CY133:CY136"/>
    <mergeCell ref="CZ133:CZ136"/>
    <mergeCell ref="DA133:DA136"/>
    <mergeCell ref="AK133:AK136"/>
    <mergeCell ref="AL133:AL136"/>
    <mergeCell ref="AM133:AM136"/>
    <mergeCell ref="AN133:AN136"/>
    <mergeCell ref="AO133:AO136"/>
    <mergeCell ref="DE121:DE124"/>
    <mergeCell ref="DF121:DF124"/>
    <mergeCell ref="CM121:CM124"/>
    <mergeCell ref="DB133:DB136"/>
    <mergeCell ref="DC133:DC136"/>
    <mergeCell ref="DD133:DD136"/>
    <mergeCell ref="DE133:DE136"/>
    <mergeCell ref="DF133:DF136"/>
    <mergeCell ref="CM133:CM136"/>
    <mergeCell ref="CO133:CO136"/>
    <mergeCell ref="A125:A128"/>
    <mergeCell ref="B125:B128"/>
    <mergeCell ref="C125:C128"/>
    <mergeCell ref="D125:D128"/>
    <mergeCell ref="E125:E128"/>
    <mergeCell ref="F125:F128"/>
    <mergeCell ref="G125:G128"/>
    <mergeCell ref="H125:H128"/>
    <mergeCell ref="I125:I128"/>
    <mergeCell ref="J125:J128"/>
    <mergeCell ref="K125:K128"/>
    <mergeCell ref="L125:L128"/>
    <mergeCell ref="M125:M128"/>
    <mergeCell ref="N125:N128"/>
    <mergeCell ref="O125:O128"/>
    <mergeCell ref="P125:P128"/>
    <mergeCell ref="CX125:CX128"/>
    <mergeCell ref="CY125:CY128"/>
    <mergeCell ref="CZ125:CZ128"/>
    <mergeCell ref="Q125:Q128"/>
    <mergeCell ref="AK125:AK128"/>
    <mergeCell ref="AL125:AL128"/>
    <mergeCell ref="AB121:AB124"/>
    <mergeCell ref="AD121:AD124"/>
    <mergeCell ref="AJ121:AJ124"/>
    <mergeCell ref="AQ121:AQ124"/>
    <mergeCell ref="BA121:BA124"/>
    <mergeCell ref="BC121:BC124"/>
    <mergeCell ref="DA125:DA128"/>
    <mergeCell ref="DB125:DB128"/>
    <mergeCell ref="DC125:DC128"/>
    <mergeCell ref="DD125:DD128"/>
    <mergeCell ref="DE125:DE128"/>
    <mergeCell ref="DF125:DF128"/>
    <mergeCell ref="A121:A124"/>
    <mergeCell ref="B121:B124"/>
    <mergeCell ref="C121:C124"/>
    <mergeCell ref="D121:D124"/>
    <mergeCell ref="E121:E124"/>
    <mergeCell ref="F121:F124"/>
    <mergeCell ref="G121:G124"/>
    <mergeCell ref="H121:H124"/>
    <mergeCell ref="I121:I124"/>
    <mergeCell ref="J121:J124"/>
    <mergeCell ref="K121:K124"/>
    <mergeCell ref="L121:L124"/>
    <mergeCell ref="M121:M124"/>
    <mergeCell ref="N121:N124"/>
    <mergeCell ref="O121:O124"/>
    <mergeCell ref="P121:P124"/>
    <mergeCell ref="Q121:Q124"/>
    <mergeCell ref="AK121:AK124"/>
    <mergeCell ref="AB125:AB128"/>
    <mergeCell ref="AD125:AD128"/>
    <mergeCell ref="AJ125:AJ128"/>
    <mergeCell ref="AQ125:AQ128"/>
    <mergeCell ref="BA125:BA128"/>
    <mergeCell ref="BC125:BC128"/>
    <mergeCell ref="CO121:CO124"/>
    <mergeCell ref="CP121:CP124"/>
    <mergeCell ref="CQ121:CQ124"/>
    <mergeCell ref="CX121:CX124"/>
    <mergeCell ref="CY121:CY124"/>
    <mergeCell ref="CZ121:CZ124"/>
    <mergeCell ref="DA121:DA124"/>
    <mergeCell ref="DB121:DB124"/>
    <mergeCell ref="DC121:DC124"/>
    <mergeCell ref="DD121:DD124"/>
    <mergeCell ref="AN121:AN124"/>
    <mergeCell ref="AO121:AO124"/>
    <mergeCell ref="AL121:AL124"/>
    <mergeCell ref="AM121:AM124"/>
    <mergeCell ref="CM125:CM128"/>
    <mergeCell ref="CV121:CV124"/>
    <mergeCell ref="CW121:CW124"/>
    <mergeCell ref="AM125:AM128"/>
    <mergeCell ref="AN125:AN128"/>
    <mergeCell ref="AO125:AO128"/>
  </mergeCells>
  <phoneticPr fontId="48" type="noConversion"/>
  <conditionalFormatting sqref="K6:K136">
    <cfRule type="containsBlanks" dxfId="9" priority="1">
      <formula>LEN(TRIM(K6))=0</formula>
    </cfRule>
  </conditionalFormatting>
  <dataValidations count="5">
    <dataValidation type="list" allowBlank="1" showErrorMessage="1" sqref="Q70:Q73 Q6:Q61" xr:uid="{355C4998-2D1D-4A2C-BE6D-71343F3F7E55}">
      <formula1>"1,2,3,4"</formula1>
    </dataValidation>
    <dataValidation type="list" allowBlank="1" showInputMessage="1" showErrorMessage="1" sqref="P93:P100 P105:P136 P6:P81" xr:uid="{5277CB12-A6CA-4B3D-97BC-3EBF922E844E}">
      <formula1>"1 Line, 1+ Line, 2 Line, 2+ Line, 3+ Line, 3 Line, Adjuvant/Neoadjuvant, NR"</formula1>
    </dataValidation>
    <dataValidation allowBlank="1" showErrorMessage="1" sqref="CM5:CN57" xr:uid="{00000000-0002-0000-0000-00000B000000}"/>
    <dataValidation type="list" allowBlank="1" showInputMessage="1" showErrorMessage="1" sqref="C6:C136" xr:uid="{9954DA52-55CF-4341-993F-A61EC8E64D08}">
      <formula1>"Original, Subgroup, Original &amp; Update"</formula1>
    </dataValidation>
    <dataValidation type="list" allowBlank="1" showInputMessage="1" showErrorMessage="1" sqref="E6:E136" xr:uid="{4D1F8102-9F7D-42AA-8902-4F0DC14352B1}">
      <formula1>"Interventional, Quality of Life, Economic, Real-world Evidence"</formula1>
    </dataValidation>
  </dataValidations>
  <hyperlinks>
    <hyperlink ref="K6" r:id="rId1" display="https://ln4.sync.com/dl/619bedee0/g4pbcqmy-5xf8aw8b-7crq4brg-ftpx2ww6" xr:uid="{0A29451E-07D2-4401-8980-49978543091F}"/>
    <hyperlink ref="K10" r:id="rId2" xr:uid="{E3783A6F-0857-4485-A886-AB1F88BE10B5}"/>
    <hyperlink ref="K14" r:id="rId3" display="https://ln4.sync.com/dl/a4e998b60/67itf5jb-z3uwknpk-a2h9yiat-ibqu5bbh" xr:uid="{FB1E7B5C-1B5C-437C-8A98-89DC445791B1}"/>
    <hyperlink ref="K22" r:id="rId4" xr:uid="{A5E31149-1D1E-4A4F-B5C0-5012E841F968}"/>
    <hyperlink ref="K26" r:id="rId5" xr:uid="{063EF57F-6760-4B89-94E7-31A309F7AC2A}"/>
    <hyperlink ref="K30" r:id="rId6" xr:uid="{FFBF22E1-F71F-4AF8-97EF-DE62526AFFAF}"/>
    <hyperlink ref="K34" r:id="rId7" xr:uid="{A24A0C74-10B1-44D3-AAF8-B973A97462EB}"/>
    <hyperlink ref="K38" r:id="rId8" xr:uid="{57825850-4D79-452F-9E1E-E8CC9F6AABF4}"/>
    <hyperlink ref="K46" r:id="rId9" xr:uid="{33155669-C9C1-4FB1-A746-301B40BA361C}"/>
    <hyperlink ref="K50" r:id="rId10" xr:uid="{8C154CD6-DC8A-4925-829D-1359FE59FB17}"/>
    <hyperlink ref="K54" r:id="rId11" xr:uid="{E9E131D1-44A1-4EFE-B01B-3324F1CE3C25}"/>
    <hyperlink ref="K58" r:id="rId12" xr:uid="{541BFE45-3D42-44CA-BDA8-49EB64307B79}"/>
    <hyperlink ref="K62" r:id="rId13" xr:uid="{93869DD3-F0DA-4799-B338-A521DC3DC3B3}"/>
    <hyperlink ref="K66" r:id="rId14" xr:uid="{15BAC8CD-30F8-41E1-979C-5337DA501969}"/>
    <hyperlink ref="K70" r:id="rId15" xr:uid="{A72BC76E-C782-462C-A1EA-B1360A91F73A}"/>
    <hyperlink ref="K74" r:id="rId16" xr:uid="{239D0E01-5BDA-4FD5-B3A5-8AB1A31E2122}"/>
    <hyperlink ref="K78" r:id="rId17" xr:uid="{53B84CB7-5E9B-4CEC-89E5-9CB4ACF91601}"/>
    <hyperlink ref="K82" r:id="rId18" xr:uid="{886116F5-F126-4E6D-AC9D-52911C92BA83}"/>
    <hyperlink ref="K87" r:id="rId19" xr:uid="{693930B0-7186-4F37-8B68-3CD83DB6ACB8}"/>
    <hyperlink ref="K93" r:id="rId20" xr:uid="{0F3D7267-BD3B-45AA-AFBD-BE4EBAE52B08}"/>
    <hyperlink ref="K97" r:id="rId21" xr:uid="{EAC746E5-9424-4031-8393-A0C8D89CCDA9}"/>
    <hyperlink ref="K101" r:id="rId22" xr:uid="{79E86144-B8CD-4EAE-93D4-3EFF95881D30}"/>
    <hyperlink ref="K105" r:id="rId23" xr:uid="{9DFBE0C7-85BB-44BD-A34B-CBA777A4B163}"/>
    <hyperlink ref="K109" r:id="rId24" xr:uid="{5B4B4D18-CEFD-41A9-B35F-15900F2A08B9}"/>
    <hyperlink ref="K113" r:id="rId25" xr:uid="{08F46C0A-09E4-4308-BC2B-56ED541EA44E}"/>
    <hyperlink ref="K117" r:id="rId26" xr:uid="{78F3F494-173E-4884-8A74-409BF6258A2F}"/>
    <hyperlink ref="K121" r:id="rId27" xr:uid="{B934DB07-422C-4D94-9D63-5AF0CC59D4D5}"/>
    <hyperlink ref="K125" r:id="rId28" xr:uid="{38EFEDBA-E190-4235-A552-73A5FDAF7D84}"/>
    <hyperlink ref="K129" r:id="rId29" xr:uid="{8274089E-E715-4B09-ABF6-C9D3A4479267}"/>
    <hyperlink ref="K133" r:id="rId30" xr:uid="{42EB5B31-5049-40D7-B343-70D841029BBD}"/>
  </hyperlinks>
  <pageMargins left="0.7" right="0.7" top="0.75" bottom="0.75" header="0" footer="0"/>
  <pageSetup orientation="portrait" r:id="rId31"/>
  <legacyDrawing r:id="rId3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ACBBC-5297-42DA-A44B-87950100BF84}">
  <dimension ref="A1:K257"/>
  <sheetViews>
    <sheetView workbookViewId="0">
      <selection activeCell="G7" sqref="G7"/>
    </sheetView>
  </sheetViews>
  <sheetFormatPr defaultColWidth="8.75" defaultRowHeight="15" customHeight="1"/>
  <cols>
    <col min="1" max="1" width="39.75" bestFit="1" customWidth="1"/>
    <col min="7" max="7" width="12.25" bestFit="1" customWidth="1"/>
  </cols>
  <sheetData>
    <row r="1" spans="1:11" ht="24.75" customHeight="1">
      <c r="A1" s="339" t="s">
        <v>257</v>
      </c>
      <c r="B1" s="339" t="s">
        <v>2057</v>
      </c>
      <c r="C1" s="339" t="s">
        <v>2058</v>
      </c>
      <c r="D1" s="339" t="s">
        <v>2059</v>
      </c>
      <c r="E1" s="340" t="s">
        <v>3</v>
      </c>
      <c r="F1" s="339" t="s">
        <v>260</v>
      </c>
      <c r="G1" s="339" t="s">
        <v>258</v>
      </c>
    </row>
    <row r="2" spans="1:11" ht="15" customHeight="1">
      <c r="A2" s="362" t="s">
        <v>1583</v>
      </c>
      <c r="B2" s="159" t="s">
        <v>2060</v>
      </c>
      <c r="C2" s="159" t="s">
        <v>2061</v>
      </c>
      <c r="D2" s="159" t="s">
        <v>2062</v>
      </c>
      <c r="E2" s="159" t="s">
        <v>357</v>
      </c>
      <c r="F2" s="159" t="s">
        <v>2063</v>
      </c>
      <c r="G2" s="305" t="s">
        <v>2603</v>
      </c>
      <c r="K2" t="s">
        <v>2195</v>
      </c>
    </row>
    <row r="3" spans="1:11" ht="15" customHeight="1">
      <c r="A3" s="362" t="s">
        <v>2607</v>
      </c>
      <c r="B3" s="347" t="s">
        <v>2082</v>
      </c>
      <c r="C3" s="159" t="s">
        <v>2083</v>
      </c>
      <c r="D3" s="159" t="s">
        <v>2084</v>
      </c>
      <c r="E3" s="347" t="s">
        <v>2085</v>
      </c>
      <c r="F3" s="348" t="s">
        <v>2086</v>
      </c>
      <c r="G3" s="348" t="s">
        <v>2028</v>
      </c>
      <c r="K3" t="s">
        <v>2183</v>
      </c>
    </row>
    <row r="4" spans="1:11" ht="15" customHeight="1">
      <c r="A4" s="362" t="s">
        <v>1856</v>
      </c>
      <c r="B4" s="342" t="s">
        <v>2087</v>
      </c>
      <c r="C4" s="343" t="s">
        <v>2088</v>
      </c>
      <c r="D4" s="344" t="s">
        <v>2089</v>
      </c>
      <c r="E4" s="345" t="s">
        <v>1855</v>
      </c>
      <c r="F4" s="346" t="s">
        <v>2090</v>
      </c>
      <c r="G4" s="346" t="s">
        <v>344</v>
      </c>
      <c r="K4" t="s">
        <v>2189</v>
      </c>
    </row>
    <row r="5" spans="1:11" ht="15" customHeight="1">
      <c r="A5" s="362" t="s">
        <v>1881</v>
      </c>
      <c r="B5" s="342" t="s">
        <v>2091</v>
      </c>
      <c r="C5" s="344" t="s">
        <v>2092</v>
      </c>
      <c r="D5" s="344" t="s">
        <v>2093</v>
      </c>
      <c r="E5" s="344" t="s">
        <v>1880</v>
      </c>
      <c r="F5" s="344" t="s">
        <v>2094</v>
      </c>
      <c r="G5" s="349" t="s">
        <v>344</v>
      </c>
      <c r="K5" t="s">
        <v>1925</v>
      </c>
    </row>
    <row r="6" spans="1:11" ht="15" customHeight="1">
      <c r="A6" s="362" t="s">
        <v>1167</v>
      </c>
      <c r="B6" s="159" t="s">
        <v>2095</v>
      </c>
      <c r="C6" s="348" t="s">
        <v>2096</v>
      </c>
      <c r="D6" s="159" t="s">
        <v>2097</v>
      </c>
      <c r="E6" s="347" t="s">
        <v>2098</v>
      </c>
      <c r="F6" s="348" t="s">
        <v>2099</v>
      </c>
      <c r="G6" s="348" t="s">
        <v>2030</v>
      </c>
      <c r="K6" t="s">
        <v>1908</v>
      </c>
    </row>
    <row r="7" spans="1:11" ht="15" customHeight="1">
      <c r="A7" s="362" t="s">
        <v>982</v>
      </c>
      <c r="B7" s="159" t="s">
        <v>2100</v>
      </c>
      <c r="C7" s="348" t="s">
        <v>2101</v>
      </c>
      <c r="D7" s="159" t="s">
        <v>2102</v>
      </c>
      <c r="E7" s="347" t="s">
        <v>983</v>
      </c>
      <c r="F7" s="348" t="s">
        <v>2103</v>
      </c>
      <c r="G7" s="348" t="s">
        <v>2030</v>
      </c>
      <c r="K7" t="s">
        <v>2064</v>
      </c>
    </row>
    <row r="8" spans="1:11" ht="15" customHeight="1">
      <c r="A8" s="362" t="s">
        <v>106</v>
      </c>
      <c r="B8" s="159" t="s">
        <v>2104</v>
      </c>
      <c r="C8" s="159" t="s">
        <v>2105</v>
      </c>
      <c r="D8" s="159" t="s">
        <v>2106</v>
      </c>
      <c r="E8" s="159" t="s">
        <v>109</v>
      </c>
      <c r="F8" s="159" t="s">
        <v>2107</v>
      </c>
      <c r="G8" s="159" t="s">
        <v>2028</v>
      </c>
      <c r="K8" t="s">
        <v>2521</v>
      </c>
    </row>
    <row r="9" spans="1:11" ht="15" customHeight="1">
      <c r="A9" s="362" t="s">
        <v>996</v>
      </c>
      <c r="B9" s="159" t="s">
        <v>2108</v>
      </c>
      <c r="C9" s="348" t="s">
        <v>2109</v>
      </c>
      <c r="D9" s="159" t="s">
        <v>2110</v>
      </c>
      <c r="E9" s="347" t="s">
        <v>997</v>
      </c>
      <c r="F9" s="348" t="s">
        <v>2111</v>
      </c>
      <c r="G9" s="348" t="s">
        <v>2030</v>
      </c>
      <c r="K9" t="s">
        <v>250</v>
      </c>
    </row>
    <row r="10" spans="1:11" ht="15" customHeight="1">
      <c r="A10" s="362" t="s">
        <v>1187</v>
      </c>
      <c r="B10" s="159" t="s">
        <v>2112</v>
      </c>
      <c r="C10" s="348" t="s">
        <v>2113</v>
      </c>
      <c r="D10" s="159" t="s">
        <v>2114</v>
      </c>
      <c r="E10" s="347" t="s">
        <v>1188</v>
      </c>
      <c r="F10" s="348" t="s">
        <v>2115</v>
      </c>
      <c r="G10" s="348" t="s">
        <v>2030</v>
      </c>
      <c r="K10" t="s">
        <v>2252</v>
      </c>
    </row>
    <row r="11" spans="1:11" ht="15" customHeight="1">
      <c r="A11" s="362" t="s">
        <v>313</v>
      </c>
      <c r="B11" s="159" t="s">
        <v>2116</v>
      </c>
      <c r="C11" s="348" t="s">
        <v>2117</v>
      </c>
      <c r="D11" s="159" t="s">
        <v>2118</v>
      </c>
      <c r="E11" s="347" t="s">
        <v>314</v>
      </c>
      <c r="F11" s="348" t="s">
        <v>2119</v>
      </c>
      <c r="G11" s="348" t="s">
        <v>2028</v>
      </c>
      <c r="K11" t="s">
        <v>2241</v>
      </c>
    </row>
    <row r="12" spans="1:11" ht="15" customHeight="1">
      <c r="A12" s="362" t="s">
        <v>1529</v>
      </c>
      <c r="B12" s="159" t="s">
        <v>2120</v>
      </c>
      <c r="C12" s="159" t="s">
        <v>2121</v>
      </c>
      <c r="D12" s="159" t="s">
        <v>2122</v>
      </c>
      <c r="E12" s="159" t="s">
        <v>2123</v>
      </c>
      <c r="F12" s="159" t="s">
        <v>2124</v>
      </c>
      <c r="G12" s="305" t="s">
        <v>344</v>
      </c>
      <c r="K12" t="s">
        <v>496</v>
      </c>
    </row>
    <row r="13" spans="1:11" ht="15" customHeight="1">
      <c r="A13" s="362" t="s">
        <v>1619</v>
      </c>
      <c r="B13" s="159" t="s">
        <v>2125</v>
      </c>
      <c r="C13" s="159" t="s">
        <v>2126</v>
      </c>
      <c r="D13" s="159" t="s">
        <v>2127</v>
      </c>
      <c r="E13" s="159" t="s">
        <v>1620</v>
      </c>
      <c r="F13" s="159" t="s">
        <v>2128</v>
      </c>
      <c r="G13" s="305" t="s">
        <v>344</v>
      </c>
      <c r="K13" t="s">
        <v>498</v>
      </c>
    </row>
    <row r="14" spans="1:11" ht="15" customHeight="1">
      <c r="A14" s="362" t="s">
        <v>1596</v>
      </c>
      <c r="B14" s="159" t="s">
        <v>2129</v>
      </c>
      <c r="C14" s="159" t="s">
        <v>2130</v>
      </c>
      <c r="D14" s="159" t="s">
        <v>2131</v>
      </c>
      <c r="E14" s="159" t="s">
        <v>2132</v>
      </c>
      <c r="F14" s="159" t="s">
        <v>2133</v>
      </c>
      <c r="G14" s="305" t="s">
        <v>344</v>
      </c>
      <c r="K14" t="s">
        <v>500</v>
      </c>
    </row>
    <row r="15" spans="1:11" ht="15" customHeight="1">
      <c r="A15" s="362" t="s">
        <v>214</v>
      </c>
      <c r="B15" s="159" t="s">
        <v>2134</v>
      </c>
      <c r="C15" s="159" t="s">
        <v>2135</v>
      </c>
      <c r="D15" s="159" t="s">
        <v>2136</v>
      </c>
      <c r="E15" s="159" t="s">
        <v>215</v>
      </c>
      <c r="F15" s="159" t="s">
        <v>2137</v>
      </c>
      <c r="G15" s="159" t="s">
        <v>2028</v>
      </c>
      <c r="K15" t="s">
        <v>502</v>
      </c>
    </row>
    <row r="16" spans="1:11" ht="15" customHeight="1">
      <c r="A16" s="362" t="s">
        <v>62</v>
      </c>
      <c r="B16" s="159" t="s">
        <v>2138</v>
      </c>
      <c r="C16" s="159" t="s">
        <v>2139</v>
      </c>
      <c r="D16" s="159" t="s">
        <v>2140</v>
      </c>
      <c r="E16" s="159" t="s">
        <v>2141</v>
      </c>
      <c r="F16" s="159" t="s">
        <v>2142</v>
      </c>
      <c r="G16" s="159" t="s">
        <v>2028</v>
      </c>
      <c r="K16" t="s">
        <v>507</v>
      </c>
    </row>
    <row r="17" spans="1:11" ht="15" customHeight="1">
      <c r="A17" s="362" t="s">
        <v>380</v>
      </c>
      <c r="B17" s="159" t="s">
        <v>2143</v>
      </c>
      <c r="C17" s="159" t="s">
        <v>2144</v>
      </c>
      <c r="D17" s="159" t="s">
        <v>2145</v>
      </c>
      <c r="E17" s="159" t="s">
        <v>381</v>
      </c>
      <c r="F17" s="159" t="s">
        <v>2146</v>
      </c>
      <c r="G17" s="159" t="s">
        <v>2028</v>
      </c>
      <c r="K17" t="s">
        <v>870</v>
      </c>
    </row>
    <row r="18" spans="1:11" ht="15" customHeight="1">
      <c r="A18" s="363" t="s">
        <v>2147</v>
      </c>
      <c r="B18" s="338" t="s">
        <v>2148</v>
      </c>
      <c r="C18" s="338" t="s">
        <v>2149</v>
      </c>
      <c r="D18" s="338" t="s">
        <v>2150</v>
      </c>
      <c r="E18" s="338" t="s">
        <v>85</v>
      </c>
      <c r="F18" s="338" t="s">
        <v>2151</v>
      </c>
      <c r="G18" s="350" t="s">
        <v>455</v>
      </c>
      <c r="K18" t="s">
        <v>927</v>
      </c>
    </row>
    <row r="19" spans="1:11" ht="15" customHeight="1">
      <c r="A19" s="362" t="s">
        <v>2623</v>
      </c>
      <c r="B19" s="159" t="s">
        <v>2152</v>
      </c>
      <c r="C19" s="159" t="s">
        <v>2608</v>
      </c>
      <c r="D19" s="159" t="s">
        <v>2153</v>
      </c>
      <c r="E19" s="159" t="s">
        <v>1014</v>
      </c>
      <c r="F19" s="159" t="s">
        <v>2154</v>
      </c>
      <c r="G19" s="348" t="s">
        <v>2030</v>
      </c>
      <c r="K19" t="s">
        <v>987</v>
      </c>
    </row>
    <row r="20" spans="1:11" ht="15" customHeight="1">
      <c r="A20" s="363" t="s">
        <v>159</v>
      </c>
      <c r="B20" s="352" t="s">
        <v>2155</v>
      </c>
      <c r="C20" s="352" t="s">
        <v>2156</v>
      </c>
      <c r="D20" s="352" t="s">
        <v>2157</v>
      </c>
      <c r="E20" s="352" t="s">
        <v>161</v>
      </c>
      <c r="F20" s="352" t="s">
        <v>2158</v>
      </c>
      <c r="G20" s="353" t="s">
        <v>455</v>
      </c>
      <c r="K20" t="s">
        <v>2316</v>
      </c>
    </row>
    <row r="21" spans="1:11" ht="15" customHeight="1">
      <c r="A21" s="362" t="s">
        <v>477</v>
      </c>
      <c r="B21" s="159" t="s">
        <v>2159</v>
      </c>
      <c r="C21" s="348" t="s">
        <v>2160</v>
      </c>
      <c r="D21" s="159" t="s">
        <v>2161</v>
      </c>
      <c r="E21" s="347" t="s">
        <v>478</v>
      </c>
      <c r="F21" s="348" t="s">
        <v>2162</v>
      </c>
      <c r="G21" s="348" t="s">
        <v>2028</v>
      </c>
      <c r="K21" t="s">
        <v>364</v>
      </c>
    </row>
    <row r="22" spans="1:11" ht="15" customHeight="1">
      <c r="A22" s="363" t="s">
        <v>2163</v>
      </c>
      <c r="B22" s="338" t="s">
        <v>2164</v>
      </c>
      <c r="C22" s="338" t="s">
        <v>2165</v>
      </c>
      <c r="D22" s="338" t="s">
        <v>2166</v>
      </c>
      <c r="E22" s="338" t="s">
        <v>108</v>
      </c>
      <c r="F22" s="338" t="s">
        <v>2167</v>
      </c>
      <c r="G22" s="350" t="s">
        <v>455</v>
      </c>
      <c r="K22" t="s">
        <v>1137</v>
      </c>
    </row>
    <row r="23" spans="1:11" ht="15" customHeight="1">
      <c r="A23" s="362" t="s">
        <v>2168</v>
      </c>
      <c r="B23" s="342" t="s">
        <v>2169</v>
      </c>
      <c r="C23" s="343" t="s">
        <v>2170</v>
      </c>
      <c r="D23" s="342" t="s">
        <v>2171</v>
      </c>
      <c r="E23" s="345" t="s">
        <v>1947</v>
      </c>
      <c r="F23" s="343" t="s">
        <v>2172</v>
      </c>
      <c r="G23" s="343" t="s">
        <v>2028</v>
      </c>
      <c r="K23" t="s">
        <v>26</v>
      </c>
    </row>
    <row r="24" spans="1:11" ht="15" customHeight="1">
      <c r="A24" s="362" t="s">
        <v>323</v>
      </c>
      <c r="B24" s="347" t="s">
        <v>2173</v>
      </c>
      <c r="C24" s="159" t="s">
        <v>2174</v>
      </c>
      <c r="D24" s="347" t="s">
        <v>2175</v>
      </c>
      <c r="E24" s="347" t="s">
        <v>2176</v>
      </c>
      <c r="F24" s="348" t="s">
        <v>2177</v>
      </c>
      <c r="G24" s="348" t="s">
        <v>2028</v>
      </c>
      <c r="K24" t="s">
        <v>1401</v>
      </c>
    </row>
    <row r="25" spans="1:11" ht="15" customHeight="1">
      <c r="A25" s="362" t="s">
        <v>2609</v>
      </c>
      <c r="B25" s="347" t="s">
        <v>2178</v>
      </c>
      <c r="C25" s="159" t="s">
        <v>2179</v>
      </c>
      <c r="D25" s="159" t="s">
        <v>2180</v>
      </c>
      <c r="E25" s="347" t="s">
        <v>2181</v>
      </c>
      <c r="F25" s="348" t="s">
        <v>2182</v>
      </c>
      <c r="G25" s="348" t="s">
        <v>2028</v>
      </c>
      <c r="K25" t="s">
        <v>1415</v>
      </c>
    </row>
    <row r="26" spans="1:11" ht="15" customHeight="1">
      <c r="A26" s="362" t="s">
        <v>2183</v>
      </c>
      <c r="B26" s="159" t="s">
        <v>2184</v>
      </c>
      <c r="C26" s="159" t="s">
        <v>2185</v>
      </c>
      <c r="D26" s="159" t="s">
        <v>2186</v>
      </c>
      <c r="E26" s="159" t="s">
        <v>2187</v>
      </c>
      <c r="F26" s="159" t="s">
        <v>2188</v>
      </c>
      <c r="G26" s="305" t="s">
        <v>344</v>
      </c>
      <c r="K26" t="s">
        <v>1421</v>
      </c>
    </row>
    <row r="27" spans="1:11" ht="15" customHeight="1">
      <c r="A27" s="362" t="s">
        <v>2189</v>
      </c>
      <c r="B27" s="159" t="s">
        <v>2190</v>
      </c>
      <c r="C27" s="348" t="s">
        <v>2191</v>
      </c>
      <c r="D27" s="354" t="s">
        <v>2192</v>
      </c>
      <c r="E27" s="347" t="s">
        <v>2193</v>
      </c>
      <c r="F27" s="355" t="s">
        <v>2194</v>
      </c>
      <c r="G27" s="355" t="s">
        <v>344</v>
      </c>
      <c r="K27" t="s">
        <v>1448</v>
      </c>
    </row>
    <row r="28" spans="1:11" ht="15" customHeight="1">
      <c r="A28" s="362" t="s">
        <v>2195</v>
      </c>
      <c r="B28" s="159" t="s">
        <v>2196</v>
      </c>
      <c r="C28" s="348" t="s">
        <v>2197</v>
      </c>
      <c r="D28" s="354" t="s">
        <v>2198</v>
      </c>
      <c r="E28" s="347" t="s">
        <v>2199</v>
      </c>
      <c r="F28" s="355" t="s">
        <v>2200</v>
      </c>
      <c r="G28" s="355" t="s">
        <v>344</v>
      </c>
      <c r="K28" t="s">
        <v>1480</v>
      </c>
    </row>
    <row r="29" spans="1:11" ht="15" customHeight="1">
      <c r="A29" s="362" t="s">
        <v>364</v>
      </c>
      <c r="B29" s="159" t="s">
        <v>2078</v>
      </c>
      <c r="C29" s="159" t="s">
        <v>2079</v>
      </c>
      <c r="D29" s="159" t="s">
        <v>2080</v>
      </c>
      <c r="E29" s="159" t="s">
        <v>365</v>
      </c>
      <c r="F29" s="159" t="s">
        <v>2081</v>
      </c>
      <c r="G29" s="305" t="s">
        <v>2603</v>
      </c>
      <c r="K29" t="s">
        <v>1491</v>
      </c>
    </row>
    <row r="30" spans="1:11" ht="15" customHeight="1">
      <c r="A30" s="362" t="s">
        <v>1096</v>
      </c>
      <c r="B30" s="159" t="s">
        <v>2201</v>
      </c>
      <c r="C30" s="348" t="s">
        <v>2202</v>
      </c>
      <c r="D30" s="159" t="s">
        <v>2203</v>
      </c>
      <c r="E30" s="347" t="s">
        <v>1097</v>
      </c>
      <c r="F30" s="348" t="s">
        <v>2204</v>
      </c>
      <c r="G30" s="348" t="s">
        <v>2030</v>
      </c>
      <c r="K30" t="s">
        <v>1529</v>
      </c>
    </row>
    <row r="31" spans="1:11" ht="15" customHeight="1">
      <c r="A31" s="362" t="s">
        <v>1703</v>
      </c>
      <c r="B31" s="159" t="s">
        <v>2205</v>
      </c>
      <c r="C31" s="348" t="s">
        <v>2206</v>
      </c>
      <c r="D31" s="354" t="s">
        <v>2207</v>
      </c>
      <c r="E31" s="347" t="s">
        <v>2208</v>
      </c>
      <c r="F31" s="355" t="s">
        <v>2209</v>
      </c>
      <c r="G31" s="355" t="s">
        <v>344</v>
      </c>
      <c r="K31" t="s">
        <v>1554</v>
      </c>
    </row>
    <row r="32" spans="1:11" ht="15" customHeight="1">
      <c r="A32" s="363" t="s">
        <v>2625</v>
      </c>
      <c r="B32" s="341" t="s">
        <v>2210</v>
      </c>
      <c r="C32" s="341" t="s">
        <v>2211</v>
      </c>
      <c r="D32" s="341" t="s">
        <v>2212</v>
      </c>
      <c r="E32" s="356" t="s">
        <v>92</v>
      </c>
      <c r="F32" s="341" t="s">
        <v>2213</v>
      </c>
      <c r="G32" s="341" t="s">
        <v>455</v>
      </c>
      <c r="K32" t="s">
        <v>1583</v>
      </c>
    </row>
    <row r="33" spans="1:11" ht="15" customHeight="1">
      <c r="A33" s="362" t="s">
        <v>1779</v>
      </c>
      <c r="B33" s="342" t="s">
        <v>2214</v>
      </c>
      <c r="C33" s="343" t="s">
        <v>2215</v>
      </c>
      <c r="D33" s="343" t="s">
        <v>2216</v>
      </c>
      <c r="E33" s="345" t="s">
        <v>1778</v>
      </c>
      <c r="F33" s="346" t="s">
        <v>2217</v>
      </c>
      <c r="G33" s="346" t="s">
        <v>344</v>
      </c>
      <c r="K33" t="s">
        <v>1596</v>
      </c>
    </row>
    <row r="34" spans="1:11" ht="15" customHeight="1">
      <c r="A34" s="362" t="s">
        <v>1661</v>
      </c>
      <c r="B34" s="159" t="s">
        <v>2218</v>
      </c>
      <c r="C34" s="159" t="s">
        <v>2219</v>
      </c>
      <c r="D34" s="159" t="s">
        <v>2220</v>
      </c>
      <c r="E34" s="159" t="s">
        <v>2221</v>
      </c>
      <c r="F34" s="159" t="s">
        <v>2222</v>
      </c>
      <c r="G34" s="305" t="s">
        <v>344</v>
      </c>
      <c r="K34" t="s">
        <v>1619</v>
      </c>
    </row>
    <row r="35" spans="1:11" ht="15" customHeight="1">
      <c r="A35" s="362" t="s">
        <v>2064</v>
      </c>
      <c r="B35" s="159" t="s">
        <v>2065</v>
      </c>
      <c r="C35" s="159" t="s">
        <v>2066</v>
      </c>
      <c r="D35" s="159" t="s">
        <v>2067</v>
      </c>
      <c r="E35" s="159" t="s">
        <v>2068</v>
      </c>
      <c r="F35" s="159" t="s">
        <v>2069</v>
      </c>
      <c r="G35" s="305" t="s">
        <v>2604</v>
      </c>
      <c r="K35" t="s">
        <v>1642</v>
      </c>
    </row>
    <row r="36" spans="1:11" ht="15" customHeight="1">
      <c r="A36" s="362" t="s">
        <v>1819</v>
      </c>
      <c r="B36" s="342" t="s">
        <v>2223</v>
      </c>
      <c r="C36" s="343" t="s">
        <v>2224</v>
      </c>
      <c r="D36" s="344" t="s">
        <v>2225</v>
      </c>
      <c r="E36" s="345" t="s">
        <v>1818</v>
      </c>
      <c r="F36" s="346" t="s">
        <v>2226</v>
      </c>
      <c r="G36" s="346" t="s">
        <v>344</v>
      </c>
      <c r="K36" t="s">
        <v>1661</v>
      </c>
    </row>
    <row r="37" spans="1:11" ht="15" customHeight="1">
      <c r="A37" s="362" t="s">
        <v>1554</v>
      </c>
      <c r="B37" s="159" t="s">
        <v>2227</v>
      </c>
      <c r="C37" s="159" t="s">
        <v>2228</v>
      </c>
      <c r="D37" s="159" t="s">
        <v>2229</v>
      </c>
      <c r="E37" s="159" t="s">
        <v>2230</v>
      </c>
      <c r="F37" s="159" t="s">
        <v>2231</v>
      </c>
      <c r="G37" s="305" t="s">
        <v>344</v>
      </c>
      <c r="K37" t="s">
        <v>1703</v>
      </c>
    </row>
    <row r="38" spans="1:11" ht="15" customHeight="1">
      <c r="A38" s="362" t="s">
        <v>1206</v>
      </c>
      <c r="B38" s="159" t="s">
        <v>2232</v>
      </c>
      <c r="C38" s="348" t="s">
        <v>2233</v>
      </c>
      <c r="D38" s="159" t="s">
        <v>2234</v>
      </c>
      <c r="E38" s="347" t="s">
        <v>1207</v>
      </c>
      <c r="F38" s="348" t="s">
        <v>2235</v>
      </c>
      <c r="G38" s="348" t="s">
        <v>2030</v>
      </c>
      <c r="K38" t="s">
        <v>1881</v>
      </c>
    </row>
    <row r="39" spans="1:11" ht="15" customHeight="1">
      <c r="A39" s="362" t="s">
        <v>1119</v>
      </c>
      <c r="B39" s="159" t="s">
        <v>2236</v>
      </c>
      <c r="C39" s="348" t="s">
        <v>2237</v>
      </c>
      <c r="D39" s="159" t="s">
        <v>2238</v>
      </c>
      <c r="E39" s="347" t="s">
        <v>2239</v>
      </c>
      <c r="F39" s="348" t="s">
        <v>2240</v>
      </c>
      <c r="G39" s="348" t="s">
        <v>2030</v>
      </c>
      <c r="K39" t="s">
        <v>1856</v>
      </c>
    </row>
    <row r="40" spans="1:11" ht="15" customHeight="1">
      <c r="A40" s="362" t="s">
        <v>2241</v>
      </c>
      <c r="B40" s="159" t="s">
        <v>2242</v>
      </c>
      <c r="C40" s="159" t="s">
        <v>2243</v>
      </c>
      <c r="D40" s="159" t="s">
        <v>2244</v>
      </c>
      <c r="E40" s="159" t="s">
        <v>2245</v>
      </c>
      <c r="F40" s="159" t="s">
        <v>2246</v>
      </c>
      <c r="G40" s="305" t="s">
        <v>344</v>
      </c>
      <c r="K40" t="s">
        <v>1836</v>
      </c>
    </row>
    <row r="41" spans="1:11" ht="15" customHeight="1">
      <c r="A41" s="362" t="s">
        <v>496</v>
      </c>
      <c r="B41" s="159" t="s">
        <v>2247</v>
      </c>
      <c r="C41" s="159" t="s">
        <v>2248</v>
      </c>
      <c r="D41" s="159" t="s">
        <v>2249</v>
      </c>
      <c r="E41" s="159" t="s">
        <v>2250</v>
      </c>
      <c r="F41" s="159" t="s">
        <v>2251</v>
      </c>
      <c r="G41" s="305" t="s">
        <v>344</v>
      </c>
      <c r="K41" t="s">
        <v>1828</v>
      </c>
    </row>
    <row r="42" spans="1:11" ht="15" customHeight="1">
      <c r="A42" s="362" t="s">
        <v>2252</v>
      </c>
      <c r="B42" s="159" t="s">
        <v>2253</v>
      </c>
      <c r="C42" s="159" t="s">
        <v>2254</v>
      </c>
      <c r="D42" s="159" t="s">
        <v>2255</v>
      </c>
      <c r="E42" s="159" t="s">
        <v>703</v>
      </c>
      <c r="F42" s="159" t="s">
        <v>2256</v>
      </c>
      <c r="G42" s="305" t="s">
        <v>344</v>
      </c>
      <c r="K42" t="s">
        <v>1819</v>
      </c>
    </row>
    <row r="43" spans="1:11" ht="15" customHeight="1">
      <c r="A43" s="362" t="s">
        <v>1480</v>
      </c>
      <c r="B43" s="159" t="s">
        <v>2257</v>
      </c>
      <c r="C43" s="159" t="s">
        <v>2258</v>
      </c>
      <c r="D43" s="159" t="s">
        <v>2259</v>
      </c>
      <c r="E43" s="159" t="s">
        <v>1481</v>
      </c>
      <c r="F43" s="159" t="s">
        <v>2260</v>
      </c>
      <c r="G43" s="305" t="s">
        <v>344</v>
      </c>
      <c r="K43" t="s">
        <v>1808</v>
      </c>
    </row>
    <row r="44" spans="1:11" ht="15" customHeight="1">
      <c r="A44" s="362" t="s">
        <v>1041</v>
      </c>
      <c r="B44" s="159" t="s">
        <v>2261</v>
      </c>
      <c r="C44" s="348" t="s">
        <v>2262</v>
      </c>
      <c r="D44" s="159" t="s">
        <v>2263</v>
      </c>
      <c r="E44" s="347" t="s">
        <v>1042</v>
      </c>
      <c r="F44" s="348" t="s">
        <v>2264</v>
      </c>
      <c r="G44" s="348" t="s">
        <v>2030</v>
      </c>
      <c r="K44" t="s">
        <v>1793</v>
      </c>
    </row>
    <row r="45" spans="1:11" ht="15" customHeight="1">
      <c r="A45" s="363" t="s">
        <v>170</v>
      </c>
      <c r="B45" s="354" t="s">
        <v>2265</v>
      </c>
      <c r="C45" s="351" t="s">
        <v>2266</v>
      </c>
      <c r="D45" s="354" t="s">
        <v>2267</v>
      </c>
      <c r="E45" s="351" t="s">
        <v>171</v>
      </c>
      <c r="F45" s="351" t="s">
        <v>2268</v>
      </c>
      <c r="G45" s="351" t="s">
        <v>455</v>
      </c>
      <c r="K45" t="s">
        <v>1779</v>
      </c>
    </row>
    <row r="46" spans="1:11" ht="15" customHeight="1">
      <c r="A46" s="362" t="s">
        <v>2610</v>
      </c>
      <c r="B46" s="159" t="s">
        <v>2269</v>
      </c>
      <c r="C46" s="159" t="s">
        <v>2270</v>
      </c>
      <c r="D46" s="159" t="s">
        <v>2271</v>
      </c>
      <c r="E46" s="159" t="s">
        <v>444</v>
      </c>
      <c r="F46" s="159" t="s">
        <v>2272</v>
      </c>
      <c r="G46" s="159" t="s">
        <v>2028</v>
      </c>
      <c r="K46" t="s">
        <v>1737</v>
      </c>
    </row>
    <row r="47" spans="1:11" ht="15" customHeight="1">
      <c r="A47" s="362" t="s">
        <v>2611</v>
      </c>
      <c r="B47" s="342" t="s">
        <v>2274</v>
      </c>
      <c r="C47" s="343" t="s">
        <v>2275</v>
      </c>
      <c r="D47" s="342" t="s">
        <v>2276</v>
      </c>
      <c r="E47" s="345" t="s">
        <v>1938</v>
      </c>
      <c r="F47" s="343" t="s">
        <v>2277</v>
      </c>
      <c r="G47" s="343" t="s">
        <v>2028</v>
      </c>
      <c r="K47" t="s">
        <v>1932</v>
      </c>
    </row>
    <row r="48" spans="1:11" ht="15" customHeight="1">
      <c r="A48" s="362" t="s">
        <v>395</v>
      </c>
      <c r="B48" s="159" t="s">
        <v>2278</v>
      </c>
      <c r="C48" s="159" t="s">
        <v>2279</v>
      </c>
      <c r="D48" s="159" t="s">
        <v>2280</v>
      </c>
      <c r="E48" s="159" t="s">
        <v>396</v>
      </c>
      <c r="F48" s="159" t="s">
        <v>2281</v>
      </c>
      <c r="G48" s="159" t="s">
        <v>2028</v>
      </c>
      <c r="K48" t="s">
        <v>2605</v>
      </c>
    </row>
    <row r="49" spans="1:11" ht="15" customHeight="1">
      <c r="A49" s="362" t="s">
        <v>231</v>
      </c>
      <c r="B49" s="159" t="s">
        <v>2282</v>
      </c>
      <c r="C49" s="159" t="s">
        <v>2283</v>
      </c>
      <c r="D49" s="159" t="s">
        <v>2284</v>
      </c>
      <c r="E49" s="159" t="s">
        <v>233</v>
      </c>
      <c r="F49" s="159" t="s">
        <v>2285</v>
      </c>
      <c r="G49" s="159" t="s">
        <v>2028</v>
      </c>
      <c r="K49" t="s">
        <v>14</v>
      </c>
    </row>
    <row r="50" spans="1:11" ht="15" customHeight="1">
      <c r="A50" s="362" t="s">
        <v>2612</v>
      </c>
      <c r="B50" s="347" t="s">
        <v>2286</v>
      </c>
      <c r="C50" s="159" t="s">
        <v>2287</v>
      </c>
      <c r="D50" s="159" t="s">
        <v>2288</v>
      </c>
      <c r="E50" s="347" t="s">
        <v>2289</v>
      </c>
      <c r="F50" s="348" t="s">
        <v>2290</v>
      </c>
      <c r="G50" s="348" t="s">
        <v>2028</v>
      </c>
      <c r="K50" t="s">
        <v>33</v>
      </c>
    </row>
    <row r="51" spans="1:11" ht="15" customHeight="1">
      <c r="A51" s="363" t="s">
        <v>45</v>
      </c>
      <c r="B51" s="351" t="s">
        <v>2291</v>
      </c>
      <c r="C51" s="351" t="s">
        <v>2292</v>
      </c>
      <c r="D51" s="351" t="s">
        <v>2118</v>
      </c>
      <c r="E51" s="351" t="s">
        <v>46</v>
      </c>
      <c r="F51" s="351" t="s">
        <v>2293</v>
      </c>
      <c r="G51" s="351" t="s">
        <v>455</v>
      </c>
      <c r="K51" t="s">
        <v>39</v>
      </c>
    </row>
    <row r="52" spans="1:11" ht="15" customHeight="1">
      <c r="A52" s="363" t="s">
        <v>50</v>
      </c>
      <c r="B52" s="351" t="s">
        <v>2294</v>
      </c>
      <c r="C52" s="351" t="s">
        <v>2295</v>
      </c>
      <c r="D52" s="351" t="s">
        <v>2118</v>
      </c>
      <c r="E52" s="351" t="s">
        <v>51</v>
      </c>
      <c r="F52" s="351" t="s">
        <v>2296</v>
      </c>
      <c r="G52" s="351" t="s">
        <v>455</v>
      </c>
      <c r="K52" t="s">
        <v>45</v>
      </c>
    </row>
    <row r="53" spans="1:11" ht="15" customHeight="1">
      <c r="A53" s="363" t="s">
        <v>2297</v>
      </c>
      <c r="B53" s="341" t="s">
        <v>2298</v>
      </c>
      <c r="C53" s="341" t="s">
        <v>2299</v>
      </c>
      <c r="D53" s="341" t="s">
        <v>2300</v>
      </c>
      <c r="E53" s="356" t="s">
        <v>70</v>
      </c>
      <c r="F53" s="341" t="s">
        <v>2301</v>
      </c>
      <c r="G53" s="341" t="s">
        <v>455</v>
      </c>
      <c r="K53" t="s">
        <v>50</v>
      </c>
    </row>
    <row r="54" spans="1:11" ht="15" customHeight="1">
      <c r="A54" s="362" t="s">
        <v>347</v>
      </c>
      <c r="B54" s="159" t="s">
        <v>2302</v>
      </c>
      <c r="C54" s="159" t="s">
        <v>2303</v>
      </c>
      <c r="D54" s="159" t="s">
        <v>2304</v>
      </c>
      <c r="E54" s="159" t="s">
        <v>348</v>
      </c>
      <c r="F54" s="159" t="s">
        <v>2305</v>
      </c>
      <c r="G54" s="159" t="s">
        <v>2028</v>
      </c>
      <c r="K54" t="s">
        <v>56</v>
      </c>
    </row>
    <row r="55" spans="1:11" ht="15" customHeight="1">
      <c r="A55" s="363" t="s">
        <v>2613</v>
      </c>
      <c r="B55" s="351" t="s">
        <v>2306</v>
      </c>
      <c r="C55" s="351" t="s">
        <v>2307</v>
      </c>
      <c r="D55" s="351" t="s">
        <v>2308</v>
      </c>
      <c r="E55" s="351" t="s">
        <v>2309</v>
      </c>
      <c r="F55" s="351" t="s">
        <v>2310</v>
      </c>
      <c r="G55" s="351" t="s">
        <v>455</v>
      </c>
      <c r="K55" t="s">
        <v>69</v>
      </c>
    </row>
    <row r="56" spans="1:11" ht="15" customHeight="1">
      <c r="A56" s="362" t="s">
        <v>1491</v>
      </c>
      <c r="B56" s="159" t="s">
        <v>2311</v>
      </c>
      <c r="C56" s="159" t="s">
        <v>2312</v>
      </c>
      <c r="D56" s="159" t="s">
        <v>2313</v>
      </c>
      <c r="E56" s="159" t="s">
        <v>2314</v>
      </c>
      <c r="F56" s="159" t="s">
        <v>2315</v>
      </c>
      <c r="G56" s="305" t="s">
        <v>344</v>
      </c>
      <c r="K56" t="s">
        <v>76</v>
      </c>
    </row>
    <row r="57" spans="1:11" ht="15" customHeight="1">
      <c r="A57" s="362" t="s">
        <v>2316</v>
      </c>
      <c r="B57" s="159" t="s">
        <v>2317</v>
      </c>
      <c r="C57" s="159" t="s">
        <v>2318</v>
      </c>
      <c r="D57" s="159" t="s">
        <v>2319</v>
      </c>
      <c r="E57" s="159" t="s">
        <v>2320</v>
      </c>
      <c r="F57" s="159" t="s">
        <v>2321</v>
      </c>
      <c r="G57" s="305" t="s">
        <v>344</v>
      </c>
      <c r="K57" t="s">
        <v>84</v>
      </c>
    </row>
    <row r="58" spans="1:11" ht="15" customHeight="1">
      <c r="A58" s="364" t="s">
        <v>987</v>
      </c>
      <c r="B58" s="159" t="s">
        <v>2322</v>
      </c>
      <c r="C58" s="348" t="s">
        <v>2323</v>
      </c>
      <c r="D58" s="354" t="s">
        <v>2324</v>
      </c>
      <c r="E58" s="347" t="s">
        <v>989</v>
      </c>
      <c r="F58" s="355" t="s">
        <v>2325</v>
      </c>
      <c r="G58" s="355" t="s">
        <v>344</v>
      </c>
      <c r="K58" t="s">
        <v>91</v>
      </c>
    </row>
    <row r="59" spans="1:11" ht="15" customHeight="1">
      <c r="A59" s="362" t="s">
        <v>242</v>
      </c>
      <c r="B59" s="159" t="s">
        <v>2326</v>
      </c>
      <c r="C59" s="159" t="s">
        <v>2327</v>
      </c>
      <c r="D59" s="159" t="s">
        <v>2328</v>
      </c>
      <c r="E59" s="159" t="s">
        <v>243</v>
      </c>
      <c r="F59" s="159" t="s">
        <v>2329</v>
      </c>
      <c r="G59" s="159" t="s">
        <v>2028</v>
      </c>
      <c r="K59" t="s">
        <v>100</v>
      </c>
    </row>
    <row r="60" spans="1:11" ht="15" customHeight="1">
      <c r="A60" s="362" t="s">
        <v>223</v>
      </c>
      <c r="B60" s="159" t="s">
        <v>2330</v>
      </c>
      <c r="C60" s="159" t="s">
        <v>2331</v>
      </c>
      <c r="D60" s="159" t="s">
        <v>2332</v>
      </c>
      <c r="E60" s="159" t="s">
        <v>224</v>
      </c>
      <c r="F60" s="159" t="s">
        <v>2333</v>
      </c>
      <c r="G60" s="159" t="s">
        <v>2028</v>
      </c>
      <c r="K60" t="s">
        <v>107</v>
      </c>
    </row>
    <row r="61" spans="1:11" ht="15" customHeight="1">
      <c r="A61" s="363" t="s">
        <v>147</v>
      </c>
      <c r="B61" s="338" t="s">
        <v>2334</v>
      </c>
      <c r="C61" s="338" t="s">
        <v>2335</v>
      </c>
      <c r="D61" s="338" t="s">
        <v>2336</v>
      </c>
      <c r="E61" s="338" t="s">
        <v>2337</v>
      </c>
      <c r="F61" s="338" t="s">
        <v>2338</v>
      </c>
      <c r="G61" s="350" t="s">
        <v>455</v>
      </c>
      <c r="K61" t="s">
        <v>2364</v>
      </c>
    </row>
    <row r="62" spans="1:11" ht="15" customHeight="1">
      <c r="A62" s="363" t="s">
        <v>2614</v>
      </c>
      <c r="B62" s="357" t="s">
        <v>2339</v>
      </c>
      <c r="C62" s="357" t="s">
        <v>2340</v>
      </c>
      <c r="D62" s="357" t="s">
        <v>2341</v>
      </c>
      <c r="E62" s="357" t="s">
        <v>1931</v>
      </c>
      <c r="F62" s="357" t="s">
        <v>2342</v>
      </c>
      <c r="G62" s="357" t="s">
        <v>455</v>
      </c>
      <c r="K62" t="s">
        <v>125</v>
      </c>
    </row>
    <row r="63" spans="1:11" ht="15" customHeight="1">
      <c r="A63" s="362" t="s">
        <v>274</v>
      </c>
      <c r="B63" s="159" t="s">
        <v>2343</v>
      </c>
      <c r="C63" s="159" t="s">
        <v>2344</v>
      </c>
      <c r="D63" s="159" t="s">
        <v>2345</v>
      </c>
      <c r="E63" s="159" t="s">
        <v>275</v>
      </c>
      <c r="F63" s="159" t="s">
        <v>2346</v>
      </c>
      <c r="G63" s="159" t="s">
        <v>2028</v>
      </c>
      <c r="K63" t="s">
        <v>135</v>
      </c>
    </row>
    <row r="64" spans="1:11" ht="15" customHeight="1">
      <c r="A64" s="362" t="s">
        <v>403</v>
      </c>
      <c r="B64" s="159" t="s">
        <v>2347</v>
      </c>
      <c r="C64" s="159" t="s">
        <v>2348</v>
      </c>
      <c r="D64" s="159" t="s">
        <v>2345</v>
      </c>
      <c r="E64" s="159" t="s">
        <v>404</v>
      </c>
      <c r="F64" s="159" t="s">
        <v>2349</v>
      </c>
      <c r="G64" s="159" t="s">
        <v>2028</v>
      </c>
      <c r="K64" t="s">
        <v>147</v>
      </c>
    </row>
    <row r="65" spans="1:11" ht="15" customHeight="1">
      <c r="A65" s="362" t="s">
        <v>294</v>
      </c>
      <c r="B65" s="159" t="s">
        <v>2350</v>
      </c>
      <c r="C65" s="159" t="s">
        <v>2351</v>
      </c>
      <c r="D65" s="159" t="s">
        <v>2345</v>
      </c>
      <c r="E65" s="159" t="s">
        <v>299</v>
      </c>
      <c r="F65" s="159" t="s">
        <v>2352</v>
      </c>
      <c r="G65" s="159" t="s">
        <v>2028</v>
      </c>
      <c r="K65" t="s">
        <v>159</v>
      </c>
    </row>
    <row r="66" spans="1:11" ht="15" customHeight="1">
      <c r="A66" s="362" t="s">
        <v>424</v>
      </c>
      <c r="B66" s="159" t="s">
        <v>2353</v>
      </c>
      <c r="C66" s="159" t="s">
        <v>2354</v>
      </c>
      <c r="D66" s="159" t="s">
        <v>2355</v>
      </c>
      <c r="E66" s="159" t="s">
        <v>425</v>
      </c>
      <c r="F66" s="159" t="s">
        <v>2356</v>
      </c>
      <c r="G66" s="159" t="s">
        <v>2028</v>
      </c>
      <c r="K66" t="s">
        <v>170</v>
      </c>
    </row>
    <row r="67" spans="1:11" ht="15" customHeight="1">
      <c r="A67" s="362" t="s">
        <v>388</v>
      </c>
      <c r="B67" s="159" t="s">
        <v>2357</v>
      </c>
      <c r="C67" s="159" t="s">
        <v>2358</v>
      </c>
      <c r="D67" s="159" t="s">
        <v>2359</v>
      </c>
      <c r="E67" s="159" t="s">
        <v>389</v>
      </c>
      <c r="F67" s="159" t="s">
        <v>2360</v>
      </c>
      <c r="G67" s="159" t="s">
        <v>2028</v>
      </c>
      <c r="K67" t="s">
        <v>176</v>
      </c>
    </row>
    <row r="68" spans="1:11" ht="15" customHeight="1">
      <c r="A68" s="362" t="s">
        <v>282</v>
      </c>
      <c r="B68" s="159" t="s">
        <v>2361</v>
      </c>
      <c r="C68" s="159" t="s">
        <v>2362</v>
      </c>
      <c r="D68" s="159" t="s">
        <v>2345</v>
      </c>
      <c r="E68" s="159" t="s">
        <v>283</v>
      </c>
      <c r="F68" s="159" t="s">
        <v>2363</v>
      </c>
      <c r="G68" s="159" t="s">
        <v>2028</v>
      </c>
      <c r="K68" t="s">
        <v>186</v>
      </c>
    </row>
    <row r="69" spans="1:11" ht="15" customHeight="1">
      <c r="A69" s="363" t="s">
        <v>2364</v>
      </c>
      <c r="B69" s="338" t="s">
        <v>2365</v>
      </c>
      <c r="C69" s="338" t="s">
        <v>2366</v>
      </c>
      <c r="D69" s="338" t="s">
        <v>2367</v>
      </c>
      <c r="E69" s="338" t="s">
        <v>116</v>
      </c>
      <c r="F69" s="338" t="s">
        <v>2368</v>
      </c>
      <c r="G69" s="350" t="s">
        <v>455</v>
      </c>
      <c r="K69" t="s">
        <v>62</v>
      </c>
    </row>
    <row r="70" spans="1:11" ht="15" customHeight="1">
      <c r="A70" s="363" t="s">
        <v>135</v>
      </c>
      <c r="B70" s="341" t="s">
        <v>2369</v>
      </c>
      <c r="C70" s="341" t="s">
        <v>2370</v>
      </c>
      <c r="D70" s="341" t="s">
        <v>2371</v>
      </c>
      <c r="E70" s="356" t="s">
        <v>2372</v>
      </c>
      <c r="F70" s="341" t="s">
        <v>2373</v>
      </c>
      <c r="G70" s="341" t="s">
        <v>455</v>
      </c>
      <c r="K70" t="s">
        <v>78</v>
      </c>
    </row>
    <row r="71" spans="1:11" ht="15" customHeight="1">
      <c r="A71" s="364" t="s">
        <v>1737</v>
      </c>
      <c r="B71" s="342" t="s">
        <v>2374</v>
      </c>
      <c r="C71" s="343" t="s">
        <v>2375</v>
      </c>
      <c r="D71" s="344" t="s">
        <v>2376</v>
      </c>
      <c r="E71" s="345" t="s">
        <v>1736</v>
      </c>
      <c r="F71" s="346" t="s">
        <v>2377</v>
      </c>
      <c r="G71" s="346" t="s">
        <v>344</v>
      </c>
      <c r="K71" t="s">
        <v>106</v>
      </c>
    </row>
    <row r="72" spans="1:11" ht="15" customHeight="1">
      <c r="A72" s="362" t="s">
        <v>1415</v>
      </c>
      <c r="B72" s="159" t="s">
        <v>2378</v>
      </c>
      <c r="C72" s="159" t="s">
        <v>2379</v>
      </c>
      <c r="D72" s="159" t="s">
        <v>2380</v>
      </c>
      <c r="E72" s="159" t="s">
        <v>2381</v>
      </c>
      <c r="F72" s="159" t="s">
        <v>2382</v>
      </c>
      <c r="G72" s="305" t="s">
        <v>344</v>
      </c>
      <c r="K72" t="s">
        <v>131</v>
      </c>
    </row>
    <row r="73" spans="1:11" ht="15" customHeight="1">
      <c r="A73" s="362" t="s">
        <v>1401</v>
      </c>
      <c r="B73" s="159" t="s">
        <v>2386</v>
      </c>
      <c r="C73" s="159" t="s">
        <v>2387</v>
      </c>
      <c r="D73" s="361" t="s">
        <v>2388</v>
      </c>
      <c r="E73" s="159" t="s">
        <v>2389</v>
      </c>
      <c r="F73" s="159" t="s">
        <v>2390</v>
      </c>
      <c r="G73" s="305" t="s">
        <v>344</v>
      </c>
      <c r="K73" t="s">
        <v>177</v>
      </c>
    </row>
    <row r="74" spans="1:11" ht="15" customHeight="1">
      <c r="A74" s="362" t="s">
        <v>26</v>
      </c>
      <c r="B74" s="159" t="s">
        <v>2391</v>
      </c>
      <c r="C74" s="159" t="s">
        <v>2383</v>
      </c>
      <c r="D74" s="159" t="s">
        <v>2384</v>
      </c>
      <c r="E74" s="159" t="s">
        <v>1325</v>
      </c>
      <c r="F74" s="159" t="s">
        <v>2385</v>
      </c>
      <c r="G74" s="305" t="s">
        <v>344</v>
      </c>
      <c r="K74" t="s">
        <v>196</v>
      </c>
    </row>
    <row r="75" spans="1:11" ht="15" customHeight="1">
      <c r="A75" s="362" t="s">
        <v>261</v>
      </c>
      <c r="B75" s="159" t="s">
        <v>2392</v>
      </c>
      <c r="C75" s="159" t="s">
        <v>2393</v>
      </c>
      <c r="D75" s="159" t="s">
        <v>2394</v>
      </c>
      <c r="E75" s="159" t="s">
        <v>262</v>
      </c>
      <c r="F75" s="159" t="s">
        <v>2395</v>
      </c>
      <c r="G75" s="159" t="s">
        <v>2028</v>
      </c>
      <c r="K75" t="s">
        <v>1959</v>
      </c>
    </row>
    <row r="76" spans="1:11" ht="15" customHeight="1">
      <c r="A76" s="362" t="s">
        <v>1255</v>
      </c>
      <c r="B76" s="159" t="s">
        <v>2396</v>
      </c>
      <c r="C76" s="348" t="s">
        <v>2397</v>
      </c>
      <c r="D76" s="159" t="s">
        <v>2398</v>
      </c>
      <c r="E76" s="347" t="s">
        <v>1256</v>
      </c>
      <c r="F76" s="348" t="s">
        <v>2399</v>
      </c>
      <c r="G76" s="348" t="s">
        <v>2030</v>
      </c>
      <c r="K76" t="s">
        <v>2273</v>
      </c>
    </row>
    <row r="77" spans="1:11" ht="15" customHeight="1">
      <c r="A77" s="362" t="s">
        <v>305</v>
      </c>
      <c r="B77" s="159" t="s">
        <v>2400</v>
      </c>
      <c r="C77" s="159" t="s">
        <v>2401</v>
      </c>
      <c r="D77" s="159" t="s">
        <v>2345</v>
      </c>
      <c r="E77" s="159" t="s">
        <v>306</v>
      </c>
      <c r="F77" s="159" t="s">
        <v>2402</v>
      </c>
      <c r="G77" s="159" t="s">
        <v>2028</v>
      </c>
      <c r="K77" t="s">
        <v>1948</v>
      </c>
    </row>
    <row r="78" spans="1:11" ht="15" customHeight="1">
      <c r="A78" s="362" t="s">
        <v>870</v>
      </c>
      <c r="B78" s="159" t="s">
        <v>2403</v>
      </c>
      <c r="C78" s="354" t="s">
        <v>2404</v>
      </c>
      <c r="D78" s="354" t="s">
        <v>2405</v>
      </c>
      <c r="E78" s="354" t="s">
        <v>871</v>
      </c>
      <c r="F78" s="354" t="s">
        <v>2406</v>
      </c>
      <c r="G78" s="358" t="s">
        <v>344</v>
      </c>
      <c r="K78" t="s">
        <v>207</v>
      </c>
    </row>
    <row r="79" spans="1:11" ht="15" customHeight="1">
      <c r="A79" s="363" t="s">
        <v>2605</v>
      </c>
      <c r="B79" s="341" t="s">
        <v>2407</v>
      </c>
      <c r="C79" s="341" t="s">
        <v>2408</v>
      </c>
      <c r="D79" s="341" t="s">
        <v>2409</v>
      </c>
      <c r="E79" s="356" t="s">
        <v>9</v>
      </c>
      <c r="F79" s="341" t="s">
        <v>2410</v>
      </c>
      <c r="G79" s="341" t="s">
        <v>455</v>
      </c>
      <c r="K79" t="s">
        <v>214</v>
      </c>
    </row>
    <row r="80" spans="1:11" ht="15" customHeight="1">
      <c r="A80" s="362" t="s">
        <v>2606</v>
      </c>
      <c r="B80" s="342" t="s">
        <v>2411</v>
      </c>
      <c r="C80" s="343" t="s">
        <v>2412</v>
      </c>
      <c r="D80" s="342" t="s">
        <v>2413</v>
      </c>
      <c r="E80" s="345" t="s">
        <v>1958</v>
      </c>
      <c r="F80" s="343" t="s">
        <v>2414</v>
      </c>
      <c r="G80" s="343" t="s">
        <v>2028</v>
      </c>
      <c r="K80" t="s">
        <v>223</v>
      </c>
    </row>
    <row r="81" spans="1:11" ht="15" customHeight="1">
      <c r="A81" s="362" t="s">
        <v>502</v>
      </c>
      <c r="B81" s="159" t="s">
        <v>2415</v>
      </c>
      <c r="C81" s="354" t="s">
        <v>2416</v>
      </c>
      <c r="D81" s="354" t="s">
        <v>2417</v>
      </c>
      <c r="E81" s="354" t="s">
        <v>503</v>
      </c>
      <c r="F81" s="354" t="s">
        <v>2418</v>
      </c>
      <c r="G81" s="358" t="s">
        <v>344</v>
      </c>
      <c r="K81" t="s">
        <v>231</v>
      </c>
    </row>
    <row r="82" spans="1:11" ht="15" customHeight="1">
      <c r="A82" s="362" t="s">
        <v>500</v>
      </c>
      <c r="B82" s="159" t="s">
        <v>2419</v>
      </c>
      <c r="C82" s="159" t="s">
        <v>2420</v>
      </c>
      <c r="D82" s="159" t="s">
        <v>2186</v>
      </c>
      <c r="E82" s="159" t="s">
        <v>501</v>
      </c>
      <c r="F82" s="159" t="s">
        <v>2421</v>
      </c>
      <c r="G82" s="305" t="s">
        <v>344</v>
      </c>
      <c r="K82" t="s">
        <v>242</v>
      </c>
    </row>
    <row r="83" spans="1:11" ht="15" customHeight="1">
      <c r="A83" s="362" t="s">
        <v>465</v>
      </c>
      <c r="B83" s="159" t="s">
        <v>2422</v>
      </c>
      <c r="C83" s="348" t="s">
        <v>2423</v>
      </c>
      <c r="D83" s="159" t="s">
        <v>2267</v>
      </c>
      <c r="E83" s="347" t="s">
        <v>466</v>
      </c>
      <c r="F83" s="348" t="s">
        <v>2424</v>
      </c>
      <c r="G83" s="348" t="s">
        <v>2028</v>
      </c>
      <c r="K83" t="s">
        <v>261</v>
      </c>
    </row>
    <row r="84" spans="1:11" ht="15" customHeight="1">
      <c r="A84" s="362" t="s">
        <v>940</v>
      </c>
      <c r="B84" s="159" t="s">
        <v>2425</v>
      </c>
      <c r="C84" s="348" t="s">
        <v>2426</v>
      </c>
      <c r="D84" s="159" t="s">
        <v>2427</v>
      </c>
      <c r="E84" s="347" t="s">
        <v>483</v>
      </c>
      <c r="F84" s="348" t="s">
        <v>2428</v>
      </c>
      <c r="G84" s="348" t="s">
        <v>2030</v>
      </c>
      <c r="K84" t="s">
        <v>274</v>
      </c>
    </row>
    <row r="85" spans="1:11" ht="15" customHeight="1">
      <c r="A85" s="362" t="s">
        <v>1028</v>
      </c>
      <c r="B85" s="159" t="s">
        <v>2429</v>
      </c>
      <c r="C85" s="348" t="s">
        <v>2430</v>
      </c>
      <c r="D85" s="159" t="s">
        <v>2431</v>
      </c>
      <c r="E85" s="347" t="s">
        <v>1029</v>
      </c>
      <c r="F85" s="348" t="s">
        <v>2432</v>
      </c>
      <c r="G85" s="348" t="s">
        <v>2030</v>
      </c>
      <c r="K85" t="s">
        <v>282</v>
      </c>
    </row>
    <row r="86" spans="1:11" ht="15" customHeight="1">
      <c r="A86" s="362" t="s">
        <v>1808</v>
      </c>
      <c r="B86" s="342" t="s">
        <v>2433</v>
      </c>
      <c r="C86" s="343" t="s">
        <v>2434</v>
      </c>
      <c r="D86" s="344" t="s">
        <v>2435</v>
      </c>
      <c r="E86" s="345" t="s">
        <v>1807</v>
      </c>
      <c r="F86" s="346" t="s">
        <v>2436</v>
      </c>
      <c r="G86" s="346" t="s">
        <v>344</v>
      </c>
      <c r="K86" t="s">
        <v>294</v>
      </c>
    </row>
    <row r="87" spans="1:11" ht="15" customHeight="1">
      <c r="A87" s="362" t="s">
        <v>2437</v>
      </c>
      <c r="B87" s="342" t="s">
        <v>2438</v>
      </c>
      <c r="C87" s="343" t="s">
        <v>2439</v>
      </c>
      <c r="D87" s="344" t="s">
        <v>2440</v>
      </c>
      <c r="E87" s="345" t="s">
        <v>1827</v>
      </c>
      <c r="F87" s="346" t="s">
        <v>2441</v>
      </c>
      <c r="G87" s="346" t="s">
        <v>344</v>
      </c>
      <c r="K87" t="s">
        <v>305</v>
      </c>
    </row>
    <row r="88" spans="1:11" ht="15" customHeight="1">
      <c r="A88" s="362" t="s">
        <v>1793</v>
      </c>
      <c r="B88" s="342" t="s">
        <v>2070</v>
      </c>
      <c r="C88" s="343" t="s">
        <v>2071</v>
      </c>
      <c r="D88" s="344" t="s">
        <v>2072</v>
      </c>
      <c r="E88" s="345" t="s">
        <v>1792</v>
      </c>
      <c r="F88" s="346" t="s">
        <v>2073</v>
      </c>
      <c r="G88" s="346" t="s">
        <v>344</v>
      </c>
      <c r="K88" t="s">
        <v>313</v>
      </c>
    </row>
    <row r="89" spans="1:11" ht="15" customHeight="1">
      <c r="A89" s="363" t="s">
        <v>2618</v>
      </c>
      <c r="B89" s="351" t="s">
        <v>2442</v>
      </c>
      <c r="C89" s="351" t="s">
        <v>2443</v>
      </c>
      <c r="D89" s="351" t="s">
        <v>2444</v>
      </c>
      <c r="E89" s="351" t="s">
        <v>178</v>
      </c>
      <c r="F89" s="351" t="s">
        <v>2445</v>
      </c>
      <c r="G89" s="351" t="s">
        <v>455</v>
      </c>
      <c r="K89" t="s">
        <v>323</v>
      </c>
    </row>
    <row r="90" spans="1:11" ht="15" customHeight="1">
      <c r="A90" s="363" t="s">
        <v>2446</v>
      </c>
      <c r="B90" s="341" t="s">
        <v>2447</v>
      </c>
      <c r="C90" s="341" t="s">
        <v>2448</v>
      </c>
      <c r="D90" s="341" t="s">
        <v>2449</v>
      </c>
      <c r="E90" s="341" t="s">
        <v>15</v>
      </c>
      <c r="F90" s="341" t="s">
        <v>2450</v>
      </c>
      <c r="G90" s="341" t="s">
        <v>455</v>
      </c>
      <c r="K90" t="s">
        <v>337</v>
      </c>
    </row>
    <row r="91" spans="1:11" ht="15" customHeight="1">
      <c r="A91" s="363" t="s">
        <v>76</v>
      </c>
      <c r="B91" s="338" t="s">
        <v>2451</v>
      </c>
      <c r="C91" s="338" t="s">
        <v>2452</v>
      </c>
      <c r="D91" s="338" t="s">
        <v>2453</v>
      </c>
      <c r="E91" s="338" t="s">
        <v>77</v>
      </c>
      <c r="F91" s="338" t="s">
        <v>2454</v>
      </c>
      <c r="G91" s="350" t="s">
        <v>455</v>
      </c>
      <c r="K91" t="s">
        <v>347</v>
      </c>
    </row>
    <row r="92" spans="1:11" ht="15" customHeight="1">
      <c r="A92" s="362" t="s">
        <v>207</v>
      </c>
      <c r="B92" s="159" t="s">
        <v>2455</v>
      </c>
      <c r="C92" s="159" t="s">
        <v>2456</v>
      </c>
      <c r="D92" s="159" t="s">
        <v>2457</v>
      </c>
      <c r="E92" s="159" t="s">
        <v>208</v>
      </c>
      <c r="F92" s="159" t="s">
        <v>2458</v>
      </c>
      <c r="G92" s="159" t="s">
        <v>2028</v>
      </c>
      <c r="K92" t="s">
        <v>372</v>
      </c>
    </row>
    <row r="93" spans="1:11" ht="15" customHeight="1">
      <c r="A93" s="362" t="s">
        <v>131</v>
      </c>
      <c r="B93" s="159" t="s">
        <v>2459</v>
      </c>
      <c r="C93" s="159" t="s">
        <v>2460</v>
      </c>
      <c r="D93" s="159" t="s">
        <v>2461</v>
      </c>
      <c r="E93" s="159" t="s">
        <v>132</v>
      </c>
      <c r="F93" s="159" t="s">
        <v>2462</v>
      </c>
      <c r="G93" s="159" t="s">
        <v>2028</v>
      </c>
      <c r="K93" t="s">
        <v>380</v>
      </c>
    </row>
    <row r="94" spans="1:11" ht="15" customHeight="1">
      <c r="A94" s="363" t="s">
        <v>2463</v>
      </c>
      <c r="B94" s="341" t="s">
        <v>2464</v>
      </c>
      <c r="C94" s="341" t="s">
        <v>2465</v>
      </c>
      <c r="D94" s="359" t="s">
        <v>2466</v>
      </c>
      <c r="E94" s="341" t="s">
        <v>101</v>
      </c>
      <c r="F94" s="341" t="s">
        <v>2467</v>
      </c>
      <c r="G94" s="341" t="s">
        <v>455</v>
      </c>
      <c r="K94" t="s">
        <v>388</v>
      </c>
    </row>
    <row r="95" spans="1:11" ht="15" customHeight="1">
      <c r="A95" s="362" t="s">
        <v>1925</v>
      </c>
      <c r="B95" s="342" t="s">
        <v>2468</v>
      </c>
      <c r="C95" s="343" t="s">
        <v>2469</v>
      </c>
      <c r="D95" s="344" t="s">
        <v>2470</v>
      </c>
      <c r="E95" s="344" t="s">
        <v>1924</v>
      </c>
      <c r="F95" s="345" t="s">
        <v>2471</v>
      </c>
      <c r="G95" s="346" t="s">
        <v>344</v>
      </c>
      <c r="K95" t="s">
        <v>395</v>
      </c>
    </row>
    <row r="96" spans="1:11" ht="15" customHeight="1">
      <c r="A96" s="363" t="s">
        <v>39</v>
      </c>
      <c r="B96" s="352" t="s">
        <v>2472</v>
      </c>
      <c r="C96" s="360" t="s">
        <v>2473</v>
      </c>
      <c r="D96" s="360" t="s">
        <v>2280</v>
      </c>
      <c r="E96" s="360" t="s">
        <v>40</v>
      </c>
      <c r="F96" s="360" t="s">
        <v>2474</v>
      </c>
      <c r="G96" s="341" t="s">
        <v>455</v>
      </c>
      <c r="K96" t="s">
        <v>403</v>
      </c>
    </row>
    <row r="97" spans="1:11" ht="15" customHeight="1">
      <c r="A97" s="362" t="s">
        <v>1084</v>
      </c>
      <c r="B97" s="159" t="s">
        <v>2475</v>
      </c>
      <c r="C97" s="159" t="s">
        <v>2476</v>
      </c>
      <c r="D97" s="159" t="s">
        <v>2477</v>
      </c>
      <c r="E97" s="159" t="s">
        <v>2478</v>
      </c>
      <c r="F97" s="159" t="s">
        <v>2479</v>
      </c>
      <c r="G97" s="348" t="s">
        <v>2030</v>
      </c>
      <c r="K97" t="s">
        <v>410</v>
      </c>
    </row>
    <row r="98" spans="1:11" ht="15" customHeight="1">
      <c r="A98" s="362" t="s">
        <v>966</v>
      </c>
      <c r="B98" s="159" t="s">
        <v>2480</v>
      </c>
      <c r="C98" s="348" t="s">
        <v>2481</v>
      </c>
      <c r="D98" s="159" t="s">
        <v>2482</v>
      </c>
      <c r="E98" s="347" t="s">
        <v>967</v>
      </c>
      <c r="F98" s="348" t="s">
        <v>2483</v>
      </c>
      <c r="G98" s="348" t="s">
        <v>2030</v>
      </c>
      <c r="K98" t="s">
        <v>417</v>
      </c>
    </row>
    <row r="99" spans="1:11" ht="15" customHeight="1">
      <c r="A99" s="362" t="s">
        <v>1058</v>
      </c>
      <c r="B99" s="159" t="s">
        <v>2484</v>
      </c>
      <c r="C99" s="348" t="s">
        <v>2615</v>
      </c>
      <c r="D99" s="159" t="s">
        <v>2485</v>
      </c>
      <c r="E99" s="347" t="s">
        <v>1059</v>
      </c>
      <c r="F99" s="348" t="s">
        <v>2486</v>
      </c>
      <c r="G99" s="348" t="s">
        <v>2030</v>
      </c>
      <c r="K99" t="s">
        <v>424</v>
      </c>
    </row>
    <row r="100" spans="1:11" ht="15" customHeight="1">
      <c r="A100" s="363" t="s">
        <v>2487</v>
      </c>
      <c r="B100" s="341" t="s">
        <v>2488</v>
      </c>
      <c r="C100" s="341" t="s">
        <v>2489</v>
      </c>
      <c r="D100" s="341" t="s">
        <v>2490</v>
      </c>
      <c r="E100" s="356" t="s">
        <v>57</v>
      </c>
      <c r="F100" s="341" t="s">
        <v>2491</v>
      </c>
      <c r="G100" s="341" t="s">
        <v>455</v>
      </c>
      <c r="K100" t="s">
        <v>430</v>
      </c>
    </row>
    <row r="101" spans="1:11" ht="15" customHeight="1">
      <c r="A101" s="362" t="s">
        <v>1272</v>
      </c>
      <c r="B101" s="159" t="s">
        <v>2492</v>
      </c>
      <c r="C101" s="348" t="s">
        <v>2493</v>
      </c>
      <c r="D101" s="159" t="s">
        <v>2494</v>
      </c>
      <c r="E101" s="347" t="s">
        <v>1275</v>
      </c>
      <c r="F101" s="348" t="s">
        <v>2495</v>
      </c>
      <c r="G101" s="348" t="s">
        <v>2030</v>
      </c>
      <c r="K101" t="s">
        <v>436</v>
      </c>
    </row>
    <row r="102" spans="1:11" ht="15" customHeight="1">
      <c r="A102" s="362" t="s">
        <v>1194</v>
      </c>
      <c r="B102" s="159" t="s">
        <v>2496</v>
      </c>
      <c r="C102" s="348" t="s">
        <v>2497</v>
      </c>
      <c r="D102" s="159" t="s">
        <v>2498</v>
      </c>
      <c r="E102" s="347" t="s">
        <v>1195</v>
      </c>
      <c r="F102" s="348" t="s">
        <v>2499</v>
      </c>
      <c r="G102" s="348" t="s">
        <v>2030</v>
      </c>
      <c r="K102" t="s">
        <v>443</v>
      </c>
    </row>
    <row r="103" spans="1:11" ht="15" customHeight="1">
      <c r="A103" s="362" t="s">
        <v>927</v>
      </c>
      <c r="B103" s="159" t="s">
        <v>2500</v>
      </c>
      <c r="C103" s="348" t="s">
        <v>2501</v>
      </c>
      <c r="D103" s="354" t="s">
        <v>2502</v>
      </c>
      <c r="E103" s="347" t="s">
        <v>928</v>
      </c>
      <c r="F103" s="355" t="s">
        <v>2503</v>
      </c>
      <c r="G103" s="355" t="s">
        <v>344</v>
      </c>
      <c r="K103" t="s">
        <v>449</v>
      </c>
    </row>
    <row r="104" spans="1:11" ht="15" customHeight="1">
      <c r="A104" s="362" t="s">
        <v>410</v>
      </c>
      <c r="B104" s="159" t="s">
        <v>2504</v>
      </c>
      <c r="C104" s="159" t="s">
        <v>2505</v>
      </c>
      <c r="D104" s="159" t="s">
        <v>2506</v>
      </c>
      <c r="E104" s="159" t="s">
        <v>2507</v>
      </c>
      <c r="F104" s="159" t="s">
        <v>2508</v>
      </c>
      <c r="G104" s="159" t="s">
        <v>2028</v>
      </c>
      <c r="K104" t="s">
        <v>453</v>
      </c>
    </row>
    <row r="105" spans="1:11" ht="15" customHeight="1">
      <c r="A105" s="362" t="s">
        <v>1448</v>
      </c>
      <c r="B105" s="159" t="s">
        <v>2509</v>
      </c>
      <c r="C105" s="348" t="s">
        <v>2510</v>
      </c>
      <c r="D105" s="354" t="s">
        <v>2511</v>
      </c>
      <c r="E105" s="347" t="s">
        <v>1449</v>
      </c>
      <c r="F105" s="355" t="s">
        <v>2512</v>
      </c>
      <c r="G105" s="355" t="s">
        <v>344</v>
      </c>
      <c r="K105" t="s">
        <v>460</v>
      </c>
    </row>
    <row r="106" spans="1:11" ht="15" customHeight="1">
      <c r="A106" s="363" t="s">
        <v>33</v>
      </c>
      <c r="B106" s="341" t="s">
        <v>2513</v>
      </c>
      <c r="C106" s="341" t="s">
        <v>2514</v>
      </c>
      <c r="D106" s="341" t="s">
        <v>2515</v>
      </c>
      <c r="E106" s="341" t="s">
        <v>34</v>
      </c>
      <c r="F106" s="341" t="s">
        <v>2516</v>
      </c>
      <c r="G106" s="341" t="s">
        <v>455</v>
      </c>
      <c r="K106" t="s">
        <v>465</v>
      </c>
    </row>
    <row r="107" spans="1:11" ht="15" customHeight="1">
      <c r="A107" s="362" t="s">
        <v>507</v>
      </c>
      <c r="B107" s="159" t="s">
        <v>2517</v>
      </c>
      <c r="C107" s="354" t="s">
        <v>2518</v>
      </c>
      <c r="D107" s="354" t="s">
        <v>2519</v>
      </c>
      <c r="E107" s="354" t="s">
        <v>508</v>
      </c>
      <c r="F107" s="354" t="s">
        <v>2520</v>
      </c>
      <c r="G107" s="358" t="s">
        <v>344</v>
      </c>
      <c r="K107" t="s">
        <v>472</v>
      </c>
    </row>
    <row r="108" spans="1:11" ht="15" customHeight="1">
      <c r="A108" s="362" t="s">
        <v>2521</v>
      </c>
      <c r="B108" s="159" t="s">
        <v>2522</v>
      </c>
      <c r="C108" s="159" t="s">
        <v>2523</v>
      </c>
      <c r="D108" s="159" t="s">
        <v>2524</v>
      </c>
      <c r="E108" s="159" t="s">
        <v>2525</v>
      </c>
      <c r="F108" s="159" t="s">
        <v>2526</v>
      </c>
      <c r="G108" s="305" t="s">
        <v>344</v>
      </c>
      <c r="K108" t="s">
        <v>477</v>
      </c>
    </row>
    <row r="109" spans="1:11" ht="15" customHeight="1">
      <c r="A109" s="362" t="s">
        <v>250</v>
      </c>
      <c r="B109" s="159" t="s">
        <v>2074</v>
      </c>
      <c r="C109" s="159" t="s">
        <v>2075</v>
      </c>
      <c r="D109" s="159" t="s">
        <v>2076</v>
      </c>
      <c r="E109" s="159" t="s">
        <v>251</v>
      </c>
      <c r="F109" s="159" t="s">
        <v>2077</v>
      </c>
      <c r="G109" s="305" t="s">
        <v>2603</v>
      </c>
      <c r="K109" t="s">
        <v>940</v>
      </c>
    </row>
    <row r="110" spans="1:11" ht="15" customHeight="1">
      <c r="A110" s="362" t="s">
        <v>1421</v>
      </c>
      <c r="B110" s="159" t="s">
        <v>2527</v>
      </c>
      <c r="C110" s="348" t="s">
        <v>2528</v>
      </c>
      <c r="D110" s="354" t="s">
        <v>2529</v>
      </c>
      <c r="E110" s="347" t="s">
        <v>1422</v>
      </c>
      <c r="F110" s="355" t="s">
        <v>2530</v>
      </c>
      <c r="G110" s="355" t="s">
        <v>344</v>
      </c>
      <c r="K110" t="s">
        <v>958</v>
      </c>
    </row>
    <row r="111" spans="1:11" ht="15" customHeight="1">
      <c r="A111" s="362" t="s">
        <v>498</v>
      </c>
      <c r="B111" s="159" t="s">
        <v>2531</v>
      </c>
      <c r="C111" s="159" t="s">
        <v>2532</v>
      </c>
      <c r="D111" s="159" t="s">
        <v>2533</v>
      </c>
      <c r="E111" s="159" t="s">
        <v>784</v>
      </c>
      <c r="F111" s="159" t="s">
        <v>2534</v>
      </c>
      <c r="G111" s="305" t="s">
        <v>344</v>
      </c>
      <c r="K111" t="s">
        <v>966</v>
      </c>
    </row>
    <row r="112" spans="1:11" ht="15" customHeight="1">
      <c r="A112" s="362" t="s">
        <v>1225</v>
      </c>
      <c r="B112" s="159" t="s">
        <v>2535</v>
      </c>
      <c r="C112" s="348" t="s">
        <v>2536</v>
      </c>
      <c r="D112" s="159" t="s">
        <v>2537</v>
      </c>
      <c r="E112" s="347" t="s">
        <v>1226</v>
      </c>
      <c r="F112" s="348" t="s">
        <v>2538</v>
      </c>
      <c r="G112" s="348" t="s">
        <v>2030</v>
      </c>
      <c r="K112" t="s">
        <v>982</v>
      </c>
    </row>
    <row r="113" spans="1:11" ht="15" customHeight="1">
      <c r="A113" s="362" t="s">
        <v>1147</v>
      </c>
      <c r="B113" s="159" t="s">
        <v>2539</v>
      </c>
      <c r="C113" s="348" t="s">
        <v>2540</v>
      </c>
      <c r="D113" s="159" t="s">
        <v>2541</v>
      </c>
      <c r="E113" s="347" t="s">
        <v>1148</v>
      </c>
      <c r="F113" s="348" t="s">
        <v>2542</v>
      </c>
      <c r="G113" s="348" t="s">
        <v>2030</v>
      </c>
      <c r="K113" t="s">
        <v>996</v>
      </c>
    </row>
    <row r="114" spans="1:11" ht="15" customHeight="1">
      <c r="A114" s="362" t="s">
        <v>449</v>
      </c>
      <c r="B114" s="159" t="s">
        <v>2543</v>
      </c>
      <c r="C114" s="159" t="s">
        <v>2544</v>
      </c>
      <c r="D114" s="159" t="s">
        <v>2345</v>
      </c>
      <c r="E114" s="159" t="s">
        <v>450</v>
      </c>
      <c r="F114" s="159" t="s">
        <v>2545</v>
      </c>
      <c r="G114" s="159" t="s">
        <v>2028</v>
      </c>
      <c r="K114" t="s">
        <v>1013</v>
      </c>
    </row>
    <row r="115" spans="1:11" ht="15" customHeight="1">
      <c r="A115" s="362" t="s">
        <v>152</v>
      </c>
      <c r="B115" s="159" t="s">
        <v>2546</v>
      </c>
      <c r="C115" s="159" t="s">
        <v>2547</v>
      </c>
      <c r="D115" s="159" t="s">
        <v>2548</v>
      </c>
      <c r="E115" s="159" t="s">
        <v>154</v>
      </c>
      <c r="F115" s="159" t="s">
        <v>2549</v>
      </c>
      <c r="G115" s="159" t="s">
        <v>2028</v>
      </c>
      <c r="K115" t="s">
        <v>1028</v>
      </c>
    </row>
    <row r="116" spans="1:11" ht="15" customHeight="1">
      <c r="A116" s="362" t="s">
        <v>2619</v>
      </c>
      <c r="B116" s="347" t="s">
        <v>2550</v>
      </c>
      <c r="C116" s="159" t="s">
        <v>2551</v>
      </c>
      <c r="D116" s="159" t="s">
        <v>2552</v>
      </c>
      <c r="E116" s="347" t="s">
        <v>182</v>
      </c>
      <c r="F116" s="348" t="s">
        <v>2553</v>
      </c>
      <c r="G116" s="348" t="s">
        <v>2028</v>
      </c>
      <c r="K116" t="s">
        <v>1041</v>
      </c>
    </row>
    <row r="117" spans="1:11" ht="15" customHeight="1">
      <c r="A117" s="362" t="s">
        <v>2620</v>
      </c>
      <c r="B117" s="347" t="s">
        <v>2554</v>
      </c>
      <c r="C117" s="159" t="s">
        <v>2555</v>
      </c>
      <c r="D117" s="159" t="s">
        <v>2556</v>
      </c>
      <c r="E117" s="347" t="s">
        <v>454</v>
      </c>
      <c r="F117" s="348" t="s">
        <v>2557</v>
      </c>
      <c r="G117" s="348" t="s">
        <v>2028</v>
      </c>
      <c r="K117" t="s">
        <v>1058</v>
      </c>
    </row>
    <row r="118" spans="1:11" ht="15" customHeight="1">
      <c r="A118" s="362" t="s">
        <v>1243</v>
      </c>
      <c r="B118" s="159" t="s">
        <v>2558</v>
      </c>
      <c r="C118" s="348" t="s">
        <v>2559</v>
      </c>
      <c r="D118" s="159" t="s">
        <v>2560</v>
      </c>
      <c r="E118" s="347" t="s">
        <v>1244</v>
      </c>
      <c r="F118" s="348" t="s">
        <v>2561</v>
      </c>
      <c r="G118" s="348" t="s">
        <v>2030</v>
      </c>
      <c r="K118" t="s">
        <v>1068</v>
      </c>
    </row>
    <row r="119" spans="1:11" ht="15" customHeight="1">
      <c r="A119" s="362" t="s">
        <v>1068</v>
      </c>
      <c r="B119" s="159" t="s">
        <v>2562</v>
      </c>
      <c r="C119" s="348" t="s">
        <v>2563</v>
      </c>
      <c r="D119" s="159" t="s">
        <v>2564</v>
      </c>
      <c r="E119" s="347" t="s">
        <v>1069</v>
      </c>
      <c r="F119" s="348" t="s">
        <v>2565</v>
      </c>
      <c r="G119" s="348" t="s">
        <v>2030</v>
      </c>
      <c r="K119" t="s">
        <v>1084</v>
      </c>
    </row>
    <row r="120" spans="1:11" ht="15" customHeight="1">
      <c r="A120" s="362" t="s">
        <v>2621</v>
      </c>
      <c r="B120" s="347" t="s">
        <v>2566</v>
      </c>
      <c r="C120" s="159" t="s">
        <v>2567</v>
      </c>
      <c r="D120" s="159" t="s">
        <v>2568</v>
      </c>
      <c r="E120" s="347" t="s">
        <v>83</v>
      </c>
      <c r="F120" s="348" t="s">
        <v>2569</v>
      </c>
      <c r="G120" s="348" t="s">
        <v>2028</v>
      </c>
      <c r="K120" t="s">
        <v>1096</v>
      </c>
    </row>
    <row r="121" spans="1:11" ht="15" customHeight="1">
      <c r="A121" s="362" t="s">
        <v>417</v>
      </c>
      <c r="B121" s="159" t="s">
        <v>2570</v>
      </c>
      <c r="C121" s="159" t="s">
        <v>2571</v>
      </c>
      <c r="D121" s="159" t="s">
        <v>2572</v>
      </c>
      <c r="E121" s="159" t="s">
        <v>418</v>
      </c>
      <c r="F121" s="159" t="s">
        <v>2573</v>
      </c>
      <c r="G121" s="159" t="s">
        <v>2028</v>
      </c>
      <c r="K121" t="s">
        <v>1119</v>
      </c>
    </row>
    <row r="122" spans="1:11" ht="15" customHeight="1">
      <c r="A122" s="362" t="s">
        <v>958</v>
      </c>
      <c r="B122" s="159" t="s">
        <v>2574</v>
      </c>
      <c r="C122" s="348" t="s">
        <v>2616</v>
      </c>
      <c r="D122" s="159" t="s">
        <v>2575</v>
      </c>
      <c r="E122" s="347" t="s">
        <v>959</v>
      </c>
      <c r="F122" s="348" t="s">
        <v>2576</v>
      </c>
      <c r="G122" s="348" t="s">
        <v>2030</v>
      </c>
      <c r="K122" t="s">
        <v>1147</v>
      </c>
    </row>
    <row r="123" spans="1:11" ht="15" customHeight="1">
      <c r="A123" s="362" t="s">
        <v>436</v>
      </c>
      <c r="B123" s="159" t="s">
        <v>2577</v>
      </c>
      <c r="C123" s="159" t="s">
        <v>2578</v>
      </c>
      <c r="D123" s="159" t="s">
        <v>2118</v>
      </c>
      <c r="E123" s="347" t="s">
        <v>437</v>
      </c>
      <c r="F123" s="348" t="s">
        <v>2579</v>
      </c>
      <c r="G123" s="348" t="s">
        <v>2028</v>
      </c>
      <c r="K123" t="s">
        <v>1167</v>
      </c>
    </row>
    <row r="124" spans="1:11" ht="15" customHeight="1">
      <c r="A124" s="362" t="s">
        <v>2622</v>
      </c>
      <c r="B124" s="347" t="s">
        <v>2580</v>
      </c>
      <c r="C124" s="159" t="s">
        <v>2581</v>
      </c>
      <c r="D124" s="159" t="s">
        <v>2582</v>
      </c>
      <c r="E124" s="347" t="s">
        <v>473</v>
      </c>
      <c r="F124" s="348" t="s">
        <v>2583</v>
      </c>
      <c r="G124" s="348" t="s">
        <v>2028</v>
      </c>
      <c r="K124" t="s">
        <v>1187</v>
      </c>
    </row>
    <row r="125" spans="1:11" ht="15" customHeight="1">
      <c r="A125" s="362" t="s">
        <v>1137</v>
      </c>
      <c r="B125" s="159" t="s">
        <v>2584</v>
      </c>
      <c r="C125" s="348" t="s">
        <v>2585</v>
      </c>
      <c r="D125" s="354" t="s">
        <v>2586</v>
      </c>
      <c r="E125" s="347" t="s">
        <v>1139</v>
      </c>
      <c r="F125" s="355" t="s">
        <v>52</v>
      </c>
      <c r="G125" s="355" t="s">
        <v>344</v>
      </c>
      <c r="K125" t="s">
        <v>1194</v>
      </c>
    </row>
    <row r="126" spans="1:11" ht="15" customHeight="1">
      <c r="A126" s="363" t="s">
        <v>2587</v>
      </c>
      <c r="B126" s="338" t="s">
        <v>2588</v>
      </c>
      <c r="C126" s="338" t="s">
        <v>2589</v>
      </c>
      <c r="D126" s="338" t="s">
        <v>2590</v>
      </c>
      <c r="E126" s="338" t="s">
        <v>127</v>
      </c>
      <c r="F126" s="338" t="s">
        <v>2591</v>
      </c>
      <c r="G126" s="350" t="s">
        <v>455</v>
      </c>
      <c r="K126" t="s">
        <v>1206</v>
      </c>
    </row>
    <row r="127" spans="1:11" ht="15" customHeight="1">
      <c r="A127" s="362" t="s">
        <v>2617</v>
      </c>
      <c r="B127" s="342" t="s">
        <v>2592</v>
      </c>
      <c r="C127" s="342" t="s">
        <v>2593</v>
      </c>
      <c r="D127" s="344" t="s">
        <v>2341</v>
      </c>
      <c r="E127" s="344" t="s">
        <v>1907</v>
      </c>
      <c r="F127" s="344" t="s">
        <v>2594</v>
      </c>
      <c r="G127" s="349" t="s">
        <v>344</v>
      </c>
      <c r="K127" t="s">
        <v>1225</v>
      </c>
    </row>
    <row r="128" spans="1:11" ht="15" customHeight="1">
      <c r="A128" s="362" t="s">
        <v>372</v>
      </c>
      <c r="B128" s="159" t="s">
        <v>2595</v>
      </c>
      <c r="C128" s="159" t="s">
        <v>2596</v>
      </c>
      <c r="D128" s="159" t="s">
        <v>2597</v>
      </c>
      <c r="E128" s="159" t="s">
        <v>373</v>
      </c>
      <c r="F128" s="159" t="s">
        <v>2598</v>
      </c>
      <c r="G128" s="159" t="s">
        <v>2028</v>
      </c>
      <c r="K128" t="s">
        <v>1243</v>
      </c>
    </row>
    <row r="129" spans="1:11" ht="15" customHeight="1">
      <c r="A129" s="362" t="s">
        <v>1642</v>
      </c>
      <c r="B129" s="124" t="s">
        <v>2599</v>
      </c>
      <c r="C129" s="124" t="s">
        <v>2600</v>
      </c>
      <c r="D129" s="124" t="s">
        <v>2601</v>
      </c>
      <c r="E129" s="124" t="s">
        <v>1643</v>
      </c>
      <c r="F129" s="124" t="s">
        <v>2602</v>
      </c>
      <c r="G129" s="305" t="s">
        <v>344</v>
      </c>
      <c r="K129" t="s">
        <v>1255</v>
      </c>
    </row>
    <row r="130" spans="1:11" ht="15" customHeight="1">
      <c r="A130" t="s">
        <v>356</v>
      </c>
      <c r="K130" t="s">
        <v>1272</v>
      </c>
    </row>
    <row r="131" spans="1:11" ht="15" customHeight="1">
      <c r="A131" t="s">
        <v>2607</v>
      </c>
    </row>
    <row r="132" spans="1:11" ht="15" customHeight="1">
      <c r="A132" t="s">
        <v>1856</v>
      </c>
    </row>
    <row r="133" spans="1:11" ht="15" customHeight="1">
      <c r="A133" t="s">
        <v>1881</v>
      </c>
    </row>
    <row r="134" spans="1:11" ht="15" customHeight="1">
      <c r="A134" t="s">
        <v>1167</v>
      </c>
    </row>
    <row r="135" spans="1:11" ht="15" customHeight="1">
      <c r="A135" t="s">
        <v>982</v>
      </c>
    </row>
    <row r="136" spans="1:11" ht="15" customHeight="1">
      <c r="A136" t="s">
        <v>106</v>
      </c>
    </row>
    <row r="137" spans="1:11" ht="15" customHeight="1">
      <c r="A137" t="s">
        <v>996</v>
      </c>
    </row>
    <row r="138" spans="1:11" ht="15" customHeight="1">
      <c r="A138" t="s">
        <v>1187</v>
      </c>
    </row>
    <row r="139" spans="1:11" ht="15" customHeight="1">
      <c r="A139" t="s">
        <v>313</v>
      </c>
    </row>
    <row r="140" spans="1:11" ht="15" customHeight="1">
      <c r="A140" t="s">
        <v>1529</v>
      </c>
    </row>
    <row r="141" spans="1:11" ht="15" customHeight="1">
      <c r="A141" t="s">
        <v>1619</v>
      </c>
    </row>
    <row r="142" spans="1:11" ht="15" customHeight="1">
      <c r="A142" t="s">
        <v>1596</v>
      </c>
    </row>
    <row r="143" spans="1:11" ht="15" customHeight="1">
      <c r="A143" t="s">
        <v>214</v>
      </c>
    </row>
    <row r="144" spans="1:11" ht="15" customHeight="1">
      <c r="A144" t="s">
        <v>62</v>
      </c>
    </row>
    <row r="145" spans="1:1" ht="15" customHeight="1">
      <c r="A145" t="s">
        <v>380</v>
      </c>
    </row>
    <row r="146" spans="1:1" ht="15" customHeight="1">
      <c r="A146" t="s">
        <v>84</v>
      </c>
    </row>
    <row r="147" spans="1:1" ht="15" customHeight="1">
      <c r="A147" t="s">
        <v>2623</v>
      </c>
    </row>
    <row r="148" spans="1:1" ht="15" customHeight="1">
      <c r="A148" t="s">
        <v>159</v>
      </c>
    </row>
    <row r="149" spans="1:1" ht="15" customHeight="1">
      <c r="A149" t="s">
        <v>477</v>
      </c>
    </row>
    <row r="150" spans="1:1" ht="15" customHeight="1">
      <c r="A150" t="s">
        <v>107</v>
      </c>
    </row>
    <row r="151" spans="1:1" ht="15" customHeight="1">
      <c r="A151" t="s">
        <v>2168</v>
      </c>
    </row>
    <row r="152" spans="1:1" ht="15" customHeight="1">
      <c r="A152" t="s">
        <v>323</v>
      </c>
    </row>
    <row r="153" spans="1:1" ht="15" customHeight="1">
      <c r="A153" t="s">
        <v>2609</v>
      </c>
    </row>
    <row r="154" spans="1:1" ht="15" customHeight="1">
      <c r="A154" t="s">
        <v>2195</v>
      </c>
    </row>
    <row r="155" spans="1:1" ht="15" customHeight="1">
      <c r="A155" t="s">
        <v>2183</v>
      </c>
    </row>
    <row r="156" spans="1:1" ht="15" customHeight="1">
      <c r="A156" t="s">
        <v>2624</v>
      </c>
    </row>
    <row r="157" spans="1:1" ht="15" customHeight="1">
      <c r="A157" t="s">
        <v>364</v>
      </c>
    </row>
    <row r="158" spans="1:1" ht="15" customHeight="1">
      <c r="A158" t="s">
        <v>1096</v>
      </c>
    </row>
    <row r="159" spans="1:1" ht="15" customHeight="1">
      <c r="A159" t="s">
        <v>1703</v>
      </c>
    </row>
    <row r="160" spans="1:1" ht="15" customHeight="1">
      <c r="A160" t="s">
        <v>2625</v>
      </c>
    </row>
    <row r="161" spans="1:1" ht="15" customHeight="1">
      <c r="A161" t="s">
        <v>1779</v>
      </c>
    </row>
    <row r="162" spans="1:1" ht="15" customHeight="1">
      <c r="A162" t="s">
        <v>1661</v>
      </c>
    </row>
    <row r="163" spans="1:1" ht="15" customHeight="1">
      <c r="A163" t="s">
        <v>2064</v>
      </c>
    </row>
    <row r="164" spans="1:1" ht="15" customHeight="1">
      <c r="A164" t="s">
        <v>1819</v>
      </c>
    </row>
    <row r="165" spans="1:1" ht="15" customHeight="1">
      <c r="A165" t="s">
        <v>1554</v>
      </c>
    </row>
    <row r="166" spans="1:1" ht="15" customHeight="1">
      <c r="A166" t="s">
        <v>1206</v>
      </c>
    </row>
    <row r="167" spans="1:1" ht="15" customHeight="1">
      <c r="A167" t="s">
        <v>1119</v>
      </c>
    </row>
    <row r="168" spans="1:1" ht="15" customHeight="1">
      <c r="A168" t="s">
        <v>2241</v>
      </c>
    </row>
    <row r="169" spans="1:1" ht="15" customHeight="1">
      <c r="A169" t="s">
        <v>496</v>
      </c>
    </row>
    <row r="170" spans="1:1" ht="15" customHeight="1">
      <c r="A170" t="s">
        <v>2252</v>
      </c>
    </row>
    <row r="171" spans="1:1" ht="15" customHeight="1">
      <c r="A171" t="s">
        <v>1480</v>
      </c>
    </row>
    <row r="172" spans="1:1" ht="15" customHeight="1">
      <c r="A172" t="s">
        <v>1041</v>
      </c>
    </row>
    <row r="173" spans="1:1" ht="15" customHeight="1">
      <c r="A173" t="s">
        <v>170</v>
      </c>
    </row>
    <row r="174" spans="1:1" ht="15" customHeight="1">
      <c r="A174" t="s">
        <v>2610</v>
      </c>
    </row>
    <row r="175" spans="1:1" ht="15" customHeight="1">
      <c r="A175" t="s">
        <v>2611</v>
      </c>
    </row>
    <row r="176" spans="1:1" ht="15" customHeight="1">
      <c r="A176" t="s">
        <v>395</v>
      </c>
    </row>
    <row r="177" spans="1:1" ht="15" customHeight="1">
      <c r="A177" t="s">
        <v>231</v>
      </c>
    </row>
    <row r="178" spans="1:1" ht="15" customHeight="1">
      <c r="A178" t="s">
        <v>2612</v>
      </c>
    </row>
    <row r="179" spans="1:1" ht="15" customHeight="1">
      <c r="A179" t="s">
        <v>45</v>
      </c>
    </row>
    <row r="180" spans="1:1" ht="15" customHeight="1">
      <c r="A180" t="s">
        <v>50</v>
      </c>
    </row>
    <row r="181" spans="1:1" ht="15" customHeight="1">
      <c r="A181" t="s">
        <v>2297</v>
      </c>
    </row>
    <row r="182" spans="1:1" ht="15" customHeight="1">
      <c r="A182" t="s">
        <v>347</v>
      </c>
    </row>
    <row r="183" spans="1:1" ht="15" customHeight="1">
      <c r="A183" t="s">
        <v>2613</v>
      </c>
    </row>
    <row r="184" spans="1:1" ht="15" customHeight="1">
      <c r="A184" t="s">
        <v>1491</v>
      </c>
    </row>
    <row r="185" spans="1:1" ht="15" customHeight="1">
      <c r="A185" t="s">
        <v>2316</v>
      </c>
    </row>
    <row r="186" spans="1:1" ht="15" customHeight="1">
      <c r="A186" t="s">
        <v>987</v>
      </c>
    </row>
    <row r="187" spans="1:1" ht="15" customHeight="1">
      <c r="A187" t="s">
        <v>242</v>
      </c>
    </row>
    <row r="188" spans="1:1" ht="15" customHeight="1">
      <c r="A188" t="s">
        <v>223</v>
      </c>
    </row>
    <row r="189" spans="1:1" ht="15" customHeight="1">
      <c r="A189" t="s">
        <v>147</v>
      </c>
    </row>
    <row r="190" spans="1:1" ht="15" customHeight="1">
      <c r="A190" t="s">
        <v>274</v>
      </c>
    </row>
    <row r="191" spans="1:1" ht="15" customHeight="1">
      <c r="A191" t="s">
        <v>2614</v>
      </c>
    </row>
    <row r="192" spans="1:1" ht="15" customHeight="1">
      <c r="A192" t="s">
        <v>403</v>
      </c>
    </row>
    <row r="193" spans="1:1" ht="15" customHeight="1">
      <c r="A193" t="s">
        <v>294</v>
      </c>
    </row>
    <row r="194" spans="1:1" ht="15" customHeight="1">
      <c r="A194" t="s">
        <v>424</v>
      </c>
    </row>
    <row r="195" spans="1:1" ht="15" customHeight="1">
      <c r="A195" t="s">
        <v>388</v>
      </c>
    </row>
    <row r="196" spans="1:1" ht="15" customHeight="1">
      <c r="A196" t="s">
        <v>282</v>
      </c>
    </row>
    <row r="197" spans="1:1" ht="15" customHeight="1">
      <c r="A197" t="s">
        <v>2364</v>
      </c>
    </row>
    <row r="198" spans="1:1" ht="15" customHeight="1">
      <c r="A198" t="s">
        <v>135</v>
      </c>
    </row>
    <row r="199" spans="1:1" ht="15" customHeight="1">
      <c r="A199" t="s">
        <v>1737</v>
      </c>
    </row>
    <row r="200" spans="1:1" ht="15" customHeight="1">
      <c r="A200" t="s">
        <v>2626</v>
      </c>
    </row>
    <row r="201" spans="1:1" ht="15" customHeight="1">
      <c r="A201" t="s">
        <v>1401</v>
      </c>
    </row>
    <row r="202" spans="1:1" ht="15" customHeight="1">
      <c r="A202" t="s">
        <v>26</v>
      </c>
    </row>
    <row r="203" spans="1:1" ht="15" customHeight="1">
      <c r="A203" t="s">
        <v>261</v>
      </c>
    </row>
    <row r="204" spans="1:1" ht="15" customHeight="1">
      <c r="A204" t="s">
        <v>1255</v>
      </c>
    </row>
    <row r="205" spans="1:1" ht="15" customHeight="1">
      <c r="A205" t="s">
        <v>2627</v>
      </c>
    </row>
    <row r="206" spans="1:1" ht="15" customHeight="1">
      <c r="A206" t="s">
        <v>870</v>
      </c>
    </row>
    <row r="207" spans="1:1" ht="15" customHeight="1">
      <c r="A207" t="s">
        <v>2605</v>
      </c>
    </row>
    <row r="208" spans="1:1" ht="15" customHeight="1">
      <c r="A208" t="s">
        <v>1959</v>
      </c>
    </row>
    <row r="209" spans="1:1" ht="15" customHeight="1">
      <c r="A209" t="s">
        <v>502</v>
      </c>
    </row>
    <row r="210" spans="1:1" ht="15" customHeight="1">
      <c r="A210" t="s">
        <v>2628</v>
      </c>
    </row>
    <row r="211" spans="1:1" ht="15" customHeight="1">
      <c r="A211" t="s">
        <v>465</v>
      </c>
    </row>
    <row r="212" spans="1:1" ht="15" customHeight="1">
      <c r="A212" t="s">
        <v>940</v>
      </c>
    </row>
    <row r="213" spans="1:1" ht="15" customHeight="1">
      <c r="A213" t="s">
        <v>1028</v>
      </c>
    </row>
    <row r="214" spans="1:1" ht="15" customHeight="1">
      <c r="A214" t="s">
        <v>1808</v>
      </c>
    </row>
    <row r="215" spans="1:1" ht="15" customHeight="1">
      <c r="A215" t="s">
        <v>2437</v>
      </c>
    </row>
    <row r="216" spans="1:1" ht="15" customHeight="1">
      <c r="A216" t="s">
        <v>1793</v>
      </c>
    </row>
    <row r="217" spans="1:1" ht="15" customHeight="1">
      <c r="A217" t="s">
        <v>2618</v>
      </c>
    </row>
    <row r="218" spans="1:1" ht="15" customHeight="1">
      <c r="A218" t="s">
        <v>2446</v>
      </c>
    </row>
    <row r="219" spans="1:1" ht="15" customHeight="1">
      <c r="A219" t="s">
        <v>76</v>
      </c>
    </row>
    <row r="220" spans="1:1" ht="15" customHeight="1">
      <c r="A220" t="s">
        <v>207</v>
      </c>
    </row>
    <row r="221" spans="1:1" ht="15" customHeight="1">
      <c r="A221" t="s">
        <v>131</v>
      </c>
    </row>
    <row r="222" spans="1:1" ht="15" customHeight="1">
      <c r="A222" t="s">
        <v>2463</v>
      </c>
    </row>
    <row r="223" spans="1:1" ht="15" customHeight="1">
      <c r="A223" t="s">
        <v>1925</v>
      </c>
    </row>
    <row r="224" spans="1:1" ht="15" customHeight="1">
      <c r="A224" t="s">
        <v>39</v>
      </c>
    </row>
    <row r="225" spans="1:1" ht="15" customHeight="1">
      <c r="A225" t="s">
        <v>1084</v>
      </c>
    </row>
    <row r="226" spans="1:1" ht="15" customHeight="1">
      <c r="A226" t="s">
        <v>966</v>
      </c>
    </row>
    <row r="227" spans="1:1" ht="15" customHeight="1">
      <c r="A227" t="s">
        <v>1058</v>
      </c>
    </row>
    <row r="228" spans="1:1" ht="15" customHeight="1">
      <c r="A228" t="s">
        <v>2487</v>
      </c>
    </row>
    <row r="229" spans="1:1" ht="15" customHeight="1">
      <c r="A229" t="s">
        <v>1272</v>
      </c>
    </row>
    <row r="230" spans="1:1" ht="15" customHeight="1">
      <c r="A230" t="s">
        <v>1194</v>
      </c>
    </row>
    <row r="231" spans="1:1" ht="15" customHeight="1">
      <c r="A231" t="s">
        <v>927</v>
      </c>
    </row>
    <row r="232" spans="1:1" ht="15" customHeight="1">
      <c r="A232" t="s">
        <v>410</v>
      </c>
    </row>
    <row r="233" spans="1:1" ht="15" customHeight="1">
      <c r="A233" t="s">
        <v>1448</v>
      </c>
    </row>
    <row r="234" spans="1:1" ht="15" customHeight="1">
      <c r="A234" t="s">
        <v>33</v>
      </c>
    </row>
    <row r="235" spans="1:1" ht="15" customHeight="1">
      <c r="A235" t="s">
        <v>507</v>
      </c>
    </row>
    <row r="236" spans="1:1" ht="15" customHeight="1">
      <c r="A236" t="s">
        <v>2521</v>
      </c>
    </row>
    <row r="237" spans="1:1" ht="15" customHeight="1">
      <c r="A237" t="s">
        <v>250</v>
      </c>
    </row>
    <row r="238" spans="1:1" ht="15" customHeight="1">
      <c r="A238" t="s">
        <v>1421</v>
      </c>
    </row>
    <row r="239" spans="1:1" ht="15" customHeight="1">
      <c r="A239" t="s">
        <v>498</v>
      </c>
    </row>
    <row r="240" spans="1:1" ht="15" customHeight="1">
      <c r="A240" t="s">
        <v>1147</v>
      </c>
    </row>
    <row r="241" spans="1:1" ht="15" customHeight="1">
      <c r="A241" t="s">
        <v>449</v>
      </c>
    </row>
    <row r="242" spans="1:1" ht="15" customHeight="1">
      <c r="A242" t="s">
        <v>152</v>
      </c>
    </row>
    <row r="243" spans="1:1" ht="15" customHeight="1">
      <c r="A243" t="s">
        <v>2619</v>
      </c>
    </row>
    <row r="244" spans="1:1" ht="15" customHeight="1">
      <c r="A244" t="s">
        <v>2620</v>
      </c>
    </row>
    <row r="245" spans="1:1" ht="15" customHeight="1">
      <c r="A245" t="s">
        <v>1243</v>
      </c>
    </row>
    <row r="246" spans="1:1" ht="15" customHeight="1">
      <c r="A246" t="s">
        <v>1068</v>
      </c>
    </row>
    <row r="247" spans="1:1" ht="15" customHeight="1">
      <c r="A247" t="s">
        <v>2621</v>
      </c>
    </row>
    <row r="248" spans="1:1" ht="15" customHeight="1">
      <c r="A248" t="s">
        <v>417</v>
      </c>
    </row>
    <row r="249" spans="1:1" ht="15" customHeight="1">
      <c r="A249" t="s">
        <v>958</v>
      </c>
    </row>
    <row r="250" spans="1:1" ht="15" customHeight="1">
      <c r="A250" t="s">
        <v>436</v>
      </c>
    </row>
    <row r="251" spans="1:1" ht="15" customHeight="1">
      <c r="A251" t="s">
        <v>2622</v>
      </c>
    </row>
    <row r="252" spans="1:1" ht="15" customHeight="1">
      <c r="A252" t="s">
        <v>1137</v>
      </c>
    </row>
    <row r="253" spans="1:1" ht="15" customHeight="1">
      <c r="A253" t="s">
        <v>2587</v>
      </c>
    </row>
    <row r="254" spans="1:1" ht="15" customHeight="1">
      <c r="A254" t="s">
        <v>2617</v>
      </c>
    </row>
    <row r="255" spans="1:1" ht="15" customHeight="1">
      <c r="A255" t="s">
        <v>372</v>
      </c>
    </row>
    <row r="256" spans="1:1" ht="15" customHeight="1">
      <c r="A256" t="s">
        <v>1642</v>
      </c>
    </row>
    <row r="257" spans="1:1" ht="15" customHeight="1">
      <c r="A257" t="s">
        <v>1225</v>
      </c>
    </row>
  </sheetData>
  <autoFilter ref="A1:G129" xr:uid="{9DAEEC0D-AE1B-4788-B28A-281F3649A2B2}">
    <sortState xmlns:xlrd2="http://schemas.microsoft.com/office/spreadsheetml/2017/richdata2" ref="A2:G129">
      <sortCondition ref="A1:A129"/>
    </sortState>
  </autoFilter>
  <conditionalFormatting sqref="E41">
    <cfRule type="duplicateValues" dxfId="8" priority="7"/>
  </conditionalFormatting>
  <conditionalFormatting sqref="E6">
    <cfRule type="duplicateValues" dxfId="7" priority="6"/>
  </conditionalFormatting>
  <conditionalFormatting sqref="E40">
    <cfRule type="duplicateValues" dxfId="6" priority="5"/>
  </conditionalFormatting>
  <conditionalFormatting sqref="E42:E129 E1:E5 E7:E39">
    <cfRule type="duplicateValues" dxfId="5" priority="36"/>
  </conditionalFormatting>
  <conditionalFormatting sqref="E1:E129">
    <cfRule type="duplicateValues" dxfId="4" priority="40"/>
  </conditionalFormatting>
  <conditionalFormatting sqref="A1:A129">
    <cfRule type="duplicateValues" dxfId="3" priority="42"/>
  </conditionalFormatting>
  <conditionalFormatting sqref="A73:A74">
    <cfRule type="duplicateValues" dxfId="2" priority="44"/>
  </conditionalFormatting>
  <conditionalFormatting sqref="A1:A1048576">
    <cfRule type="duplicateValues" dxfId="1" priority="1"/>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93AAC-0780-4193-B2F5-B1E8078C3B64}">
  <sheetPr>
    <tabColor rgb="FF4B277B"/>
  </sheetPr>
  <dimension ref="A1:BP33"/>
  <sheetViews>
    <sheetView showGridLines="0" zoomScale="55" zoomScaleNormal="55" workbookViewId="0">
      <pane ySplit="9" topLeftCell="A10" activePane="bottomLeft" state="frozen"/>
      <selection activeCell="BJ9" sqref="BJ9"/>
      <selection pane="bottomLeft" activeCell="AD23" sqref="A11:AD23"/>
    </sheetView>
  </sheetViews>
  <sheetFormatPr defaultColWidth="10.75" defaultRowHeight="15"/>
  <cols>
    <col min="1" max="1" width="22.5" style="4" customWidth="1"/>
    <col min="2" max="2" width="31.75" style="7" customWidth="1"/>
    <col min="3" max="4" width="16.25" style="4" customWidth="1"/>
    <col min="5" max="6" width="25.25" style="4" customWidth="1"/>
    <col min="7" max="7" width="23.75" style="4" customWidth="1"/>
    <col min="8" max="9" width="22" style="6" customWidth="1"/>
    <col min="10" max="10" width="18.75" style="5" customWidth="1"/>
    <col min="11" max="11" width="13.25" style="5" customWidth="1"/>
    <col min="12" max="13" width="12.75" style="5" customWidth="1"/>
    <col min="14" max="14" width="12.75" style="282" customWidth="1"/>
    <col min="15" max="15" width="11.75" style="4" customWidth="1"/>
    <col min="16" max="17" width="11.25" style="4" customWidth="1"/>
    <col min="18" max="18" width="18.25" style="4" customWidth="1"/>
    <col min="19" max="19" width="22" style="4" customWidth="1"/>
    <col min="20" max="20" width="22.25" style="4" customWidth="1"/>
    <col min="21" max="21" width="19.25" style="4" customWidth="1"/>
    <col min="22" max="22" width="18.5" style="4" customWidth="1"/>
    <col min="23" max="24" width="20.25" style="4" customWidth="1"/>
    <col min="25" max="25" width="14.75" style="4" customWidth="1"/>
    <col min="26" max="27" width="12.75" style="4" customWidth="1"/>
    <col min="28" max="28" width="12.25" style="4" customWidth="1"/>
    <col min="29" max="31" width="10.75" style="4" customWidth="1"/>
    <col min="32" max="32" width="28.75" style="4" customWidth="1"/>
    <col min="33" max="36" width="10.75" style="4" customWidth="1"/>
    <col min="37" max="37" width="14.25" style="4" customWidth="1"/>
    <col min="38" max="38" width="10.75" style="4" customWidth="1"/>
    <col min="39" max="39" width="28.75" style="4" customWidth="1"/>
    <col min="40" max="40" width="10.75" style="4" customWidth="1"/>
    <col min="41" max="41" width="12.25" style="4" customWidth="1"/>
    <col min="42" max="45" width="10.75" style="4" customWidth="1"/>
    <col min="46" max="46" width="28.75" style="4" customWidth="1"/>
    <col min="47" max="47" width="10.75" style="4" customWidth="1"/>
    <col min="48" max="48" width="28.75" style="4" customWidth="1"/>
    <col min="49" max="49" width="10.75" style="4" customWidth="1"/>
    <col min="50" max="50" width="12.25" style="4" customWidth="1"/>
    <col min="51" max="52" width="10.75" style="4" customWidth="1"/>
    <col min="53" max="53" width="11.75" style="4" customWidth="1"/>
    <col min="54" max="56" width="10.75" style="4" customWidth="1"/>
    <col min="57" max="57" width="10.75" style="4" hidden="1" customWidth="1"/>
    <col min="58" max="58" width="13.25" style="4" hidden="1" customWidth="1"/>
    <col min="59" max="59" width="15" style="4" hidden="1" customWidth="1"/>
    <col min="60" max="61" width="12.75" style="4" hidden="1" customWidth="1"/>
    <col min="62" max="62" width="20" style="4" customWidth="1"/>
    <col min="63" max="67" width="15.75" style="4" customWidth="1"/>
    <col min="68" max="68" width="3.25" style="4" customWidth="1"/>
    <col min="69" max="16384" width="10.75" style="4"/>
  </cols>
  <sheetData>
    <row r="1" spans="1:68" ht="45.75" customHeight="1">
      <c r="A1" s="115" t="s">
        <v>908</v>
      </c>
      <c r="B1" s="114"/>
      <c r="C1" s="112"/>
      <c r="D1" s="112"/>
      <c r="E1" s="112"/>
      <c r="F1" s="112"/>
      <c r="G1" s="112"/>
      <c r="H1" s="113"/>
      <c r="I1" s="113"/>
      <c r="J1" s="112"/>
      <c r="K1" s="112"/>
      <c r="L1" s="112"/>
      <c r="M1" s="112"/>
      <c r="N1" s="261"/>
      <c r="O1" s="112"/>
      <c r="P1" s="112"/>
      <c r="Q1" s="112"/>
      <c r="R1" s="112"/>
      <c r="S1" s="112"/>
      <c r="T1" s="112"/>
      <c r="U1" s="112"/>
      <c r="V1" s="112"/>
      <c r="W1" s="112"/>
      <c r="X1" s="112"/>
      <c r="Y1" s="112"/>
      <c r="Z1" s="112"/>
      <c r="AA1" s="112"/>
      <c r="AB1" s="112"/>
      <c r="AC1" s="112"/>
      <c r="AD1" s="112"/>
      <c r="AE1" s="112"/>
      <c r="AF1" s="111"/>
      <c r="AG1" s="111"/>
      <c r="AH1" s="110"/>
      <c r="AI1" s="110"/>
      <c r="AJ1" s="110"/>
      <c r="AK1" s="110"/>
      <c r="AL1" s="110"/>
      <c r="AM1" s="110"/>
      <c r="AN1" s="110"/>
      <c r="AO1" s="110"/>
      <c r="AP1" s="110"/>
      <c r="AQ1" s="110"/>
      <c r="AR1" s="110"/>
      <c r="AS1" s="110"/>
      <c r="AT1" s="110"/>
      <c r="AU1" s="110"/>
      <c r="AV1" s="110"/>
      <c r="AW1" s="110"/>
      <c r="AX1" s="110"/>
      <c r="AY1" s="110"/>
      <c r="AZ1" s="110"/>
      <c r="BA1" s="110"/>
      <c r="BB1" s="110"/>
      <c r="BC1" s="110"/>
      <c r="BD1" s="110"/>
      <c r="BE1" s="110"/>
      <c r="BF1" s="110"/>
      <c r="BG1" s="110"/>
      <c r="BH1" s="110"/>
      <c r="BI1" s="110"/>
      <c r="BJ1" s="110"/>
      <c r="BK1" s="110"/>
      <c r="BL1" s="110"/>
      <c r="BM1" s="110"/>
      <c r="BN1" s="110"/>
      <c r="BO1" s="110"/>
      <c r="BP1" s="109"/>
    </row>
    <row r="2" spans="1:68" ht="15" customHeight="1">
      <c r="A2" s="233"/>
      <c r="B2" s="108"/>
      <c r="C2" s="106"/>
      <c r="D2" s="106"/>
      <c r="E2" s="106"/>
      <c r="F2" s="106"/>
      <c r="G2" s="106"/>
      <c r="H2" s="107"/>
      <c r="I2" s="107"/>
      <c r="J2" s="106"/>
      <c r="K2" s="106"/>
      <c r="L2" s="106"/>
      <c r="M2" s="106"/>
      <c r="N2" s="262"/>
      <c r="O2" s="106"/>
      <c r="P2" s="106"/>
      <c r="Q2" s="106"/>
      <c r="R2" s="106"/>
      <c r="S2" s="106"/>
      <c r="T2" s="106"/>
      <c r="U2" s="106"/>
      <c r="V2" s="106"/>
      <c r="W2" s="106"/>
      <c r="X2" s="106"/>
      <c r="Y2" s="106"/>
      <c r="Z2" s="106"/>
      <c r="AA2" s="106"/>
      <c r="AB2" s="106"/>
      <c r="AC2" s="106"/>
      <c r="AD2" s="106"/>
      <c r="AE2" s="106"/>
      <c r="AF2" s="105"/>
      <c r="AG2" s="105"/>
      <c r="BP2" s="56"/>
    </row>
    <row r="3" spans="1:68" s="225" customFormat="1" ht="15.4" customHeight="1">
      <c r="A3" s="232" t="s">
        <v>1966</v>
      </c>
      <c r="B3" s="231"/>
      <c r="C3" s="161"/>
      <c r="D3" s="161"/>
      <c r="E3" s="161"/>
      <c r="F3" s="161"/>
      <c r="G3" s="161"/>
      <c r="H3" s="226"/>
      <c r="I3" s="226"/>
      <c r="J3" s="161"/>
      <c r="K3" s="161"/>
      <c r="L3" s="161"/>
      <c r="M3" s="161"/>
      <c r="N3" s="325"/>
      <c r="O3" s="161"/>
      <c r="P3" s="161"/>
      <c r="Q3" s="161"/>
      <c r="R3" s="161"/>
      <c r="S3" s="219"/>
      <c r="BP3" s="56"/>
    </row>
    <row r="4" spans="1:68" s="225" customFormat="1" ht="15.4" customHeight="1">
      <c r="A4" s="230" t="s">
        <v>1965</v>
      </c>
      <c r="B4" s="229"/>
      <c r="C4" s="161"/>
      <c r="D4" s="161"/>
      <c r="E4" s="161"/>
      <c r="F4" s="161"/>
      <c r="G4" s="161"/>
      <c r="H4" s="226"/>
      <c r="I4" s="226"/>
      <c r="J4" s="161"/>
      <c r="K4" s="161"/>
      <c r="L4" s="161"/>
      <c r="M4" s="161"/>
      <c r="N4" s="325"/>
      <c r="O4" s="161"/>
      <c r="P4" s="161"/>
      <c r="Q4" s="161"/>
      <c r="R4" s="161"/>
      <c r="S4" s="219"/>
      <c r="BP4" s="56"/>
    </row>
    <row r="5" spans="1:68" s="225" customFormat="1" ht="15.4" customHeight="1">
      <c r="A5" s="228" t="s">
        <v>1964</v>
      </c>
      <c r="B5" s="227"/>
      <c r="C5" s="161"/>
      <c r="D5" s="161"/>
      <c r="E5" s="161"/>
      <c r="F5" s="161"/>
      <c r="G5" s="161"/>
      <c r="H5" s="226"/>
      <c r="I5" s="226"/>
      <c r="J5" s="161"/>
      <c r="K5" s="161"/>
      <c r="L5" s="161"/>
      <c r="M5" s="161"/>
      <c r="N5" s="325"/>
      <c r="O5" s="161"/>
      <c r="P5" s="161"/>
      <c r="Q5" s="161"/>
      <c r="R5" s="161"/>
      <c r="S5" s="219"/>
      <c r="BP5" s="56"/>
    </row>
    <row r="6" spans="1:68" s="219" customFormat="1" ht="15.4" customHeight="1" thickBot="1">
      <c r="A6" s="224"/>
      <c r="B6" s="223"/>
      <c r="C6" s="222"/>
      <c r="D6" s="222"/>
      <c r="E6" s="222"/>
      <c r="F6" s="222"/>
      <c r="H6" s="221"/>
      <c r="I6" s="221"/>
      <c r="J6" s="220"/>
      <c r="K6" s="220"/>
      <c r="L6" s="220"/>
      <c r="M6" s="220"/>
      <c r="N6" s="326"/>
      <c r="O6" s="220"/>
      <c r="BP6" s="56"/>
    </row>
    <row r="7" spans="1:68" s="94" customFormat="1" ht="15" customHeight="1" thickBot="1">
      <c r="A7" s="102" t="s">
        <v>511</v>
      </c>
      <c r="B7" s="104"/>
      <c r="C7" s="101"/>
      <c r="D7" s="101"/>
      <c r="E7" s="101"/>
      <c r="F7" s="101"/>
      <c r="G7" s="101"/>
      <c r="H7" s="103"/>
      <c r="I7" s="324"/>
      <c r="J7" s="102" t="s">
        <v>512</v>
      </c>
      <c r="K7" s="101"/>
      <c r="L7" s="101"/>
      <c r="M7" s="101"/>
      <c r="N7" s="263"/>
      <c r="O7" s="101"/>
      <c r="P7" s="101"/>
      <c r="Q7" s="101"/>
      <c r="R7" s="100"/>
      <c r="S7" s="102" t="s">
        <v>222</v>
      </c>
      <c r="T7" s="101"/>
      <c r="U7" s="101"/>
      <c r="V7" s="101"/>
      <c r="W7" s="100"/>
      <c r="X7" s="332"/>
      <c r="Y7" s="99"/>
      <c r="Z7" s="98" t="s">
        <v>513</v>
      </c>
      <c r="AA7" s="97"/>
      <c r="AB7" s="97"/>
      <c r="AC7" s="97"/>
      <c r="AD7" s="97"/>
      <c r="AE7" s="97"/>
      <c r="AF7" s="96"/>
      <c r="AG7" s="98" t="s">
        <v>514</v>
      </c>
      <c r="AH7" s="97"/>
      <c r="AI7" s="97"/>
      <c r="AJ7" s="97"/>
      <c r="AK7" s="97"/>
      <c r="AL7" s="97"/>
      <c r="AM7" s="96"/>
      <c r="AN7" s="98" t="s">
        <v>515</v>
      </c>
      <c r="AO7" s="97"/>
      <c r="AP7" s="97"/>
      <c r="AQ7" s="97"/>
      <c r="AR7" s="97"/>
      <c r="AS7" s="97"/>
      <c r="AT7" s="96"/>
      <c r="AU7" s="98" t="s">
        <v>516</v>
      </c>
      <c r="AV7" s="97"/>
      <c r="AW7" s="98" t="s">
        <v>517</v>
      </c>
      <c r="AX7" s="97"/>
      <c r="AY7" s="97"/>
      <c r="AZ7" s="96"/>
      <c r="BA7" s="98" t="s">
        <v>518</v>
      </c>
      <c r="BB7" s="97"/>
      <c r="BC7" s="97"/>
      <c r="BD7" s="96"/>
      <c r="BE7" s="98" t="s">
        <v>519</v>
      </c>
      <c r="BF7" s="97"/>
      <c r="BG7" s="97"/>
      <c r="BH7" s="97"/>
      <c r="BI7" s="96"/>
      <c r="BJ7" s="98" t="s">
        <v>520</v>
      </c>
      <c r="BK7" s="97"/>
      <c r="BL7" s="96"/>
      <c r="BM7" s="333"/>
      <c r="BN7" s="333"/>
      <c r="BO7" s="333"/>
      <c r="BP7" s="95"/>
    </row>
    <row r="8" spans="1:68" s="90" customFormat="1" ht="15" customHeight="1">
      <c r="A8" s="92">
        <v>1</v>
      </c>
      <c r="B8" s="93">
        <v>2</v>
      </c>
      <c r="C8" s="92">
        <v>3</v>
      </c>
      <c r="D8" s="92">
        <v>4</v>
      </c>
      <c r="E8" s="92">
        <v>5</v>
      </c>
      <c r="F8" s="92">
        <v>6</v>
      </c>
      <c r="G8" s="92">
        <v>7</v>
      </c>
      <c r="H8" s="93">
        <v>8</v>
      </c>
      <c r="I8" s="93"/>
      <c r="J8" s="92">
        <v>9</v>
      </c>
      <c r="K8" s="92">
        <v>10</v>
      </c>
      <c r="L8" s="92">
        <v>11</v>
      </c>
      <c r="M8" s="92">
        <v>12</v>
      </c>
      <c r="N8" s="264"/>
      <c r="O8" s="92">
        <v>13</v>
      </c>
      <c r="P8" s="92">
        <v>14</v>
      </c>
      <c r="Q8" s="92">
        <v>15</v>
      </c>
      <c r="R8" s="92">
        <v>16</v>
      </c>
      <c r="S8" s="92">
        <v>17</v>
      </c>
      <c r="T8" s="92">
        <v>18</v>
      </c>
      <c r="U8" s="92">
        <v>19</v>
      </c>
      <c r="V8" s="92">
        <v>20</v>
      </c>
      <c r="W8" s="92">
        <v>21</v>
      </c>
      <c r="X8" s="92"/>
      <c r="Y8" s="92">
        <v>22</v>
      </c>
      <c r="Z8" s="92">
        <v>23</v>
      </c>
      <c r="AA8" s="92">
        <v>24</v>
      </c>
      <c r="AB8" s="92">
        <v>25</v>
      </c>
      <c r="AC8" s="92">
        <v>26</v>
      </c>
      <c r="AD8" s="92">
        <v>27</v>
      </c>
      <c r="AE8" s="92">
        <v>28</v>
      </c>
      <c r="AF8" s="92">
        <v>29</v>
      </c>
      <c r="AG8" s="92">
        <v>30</v>
      </c>
      <c r="AH8" s="92">
        <v>31</v>
      </c>
      <c r="AI8" s="92">
        <v>32</v>
      </c>
      <c r="AJ8" s="92">
        <v>33</v>
      </c>
      <c r="AK8" s="92">
        <v>34</v>
      </c>
      <c r="AL8" s="92">
        <v>35</v>
      </c>
      <c r="AM8" s="92">
        <v>36</v>
      </c>
      <c r="AN8" s="92">
        <v>37</v>
      </c>
      <c r="AO8" s="92">
        <v>38</v>
      </c>
      <c r="AP8" s="92">
        <v>39</v>
      </c>
      <c r="AQ8" s="92">
        <v>40</v>
      </c>
      <c r="AR8" s="92">
        <v>41</v>
      </c>
      <c r="AS8" s="92">
        <v>42</v>
      </c>
      <c r="AT8" s="92">
        <v>43</v>
      </c>
      <c r="AU8" s="92">
        <v>44</v>
      </c>
      <c r="AV8" s="92">
        <v>45</v>
      </c>
      <c r="AW8" s="92">
        <v>46</v>
      </c>
      <c r="AX8" s="92">
        <v>47</v>
      </c>
      <c r="AY8" s="92">
        <v>48</v>
      </c>
      <c r="AZ8" s="92">
        <v>49</v>
      </c>
      <c r="BA8" s="92">
        <v>50</v>
      </c>
      <c r="BB8" s="92">
        <v>51</v>
      </c>
      <c r="BC8" s="92">
        <v>52</v>
      </c>
      <c r="BD8" s="92">
        <v>53</v>
      </c>
      <c r="BE8" s="92">
        <v>54</v>
      </c>
      <c r="BF8" s="92">
        <v>55</v>
      </c>
      <c r="BG8" s="92">
        <v>56</v>
      </c>
      <c r="BH8" s="92">
        <v>57</v>
      </c>
      <c r="BI8" s="92">
        <v>58</v>
      </c>
      <c r="BJ8" s="92">
        <v>59</v>
      </c>
      <c r="BK8" s="92">
        <v>60</v>
      </c>
      <c r="BL8" s="92">
        <v>61</v>
      </c>
      <c r="BM8" s="92"/>
      <c r="BN8" s="92"/>
      <c r="BO8" s="92"/>
      <c r="BP8" s="91"/>
    </row>
    <row r="9" spans="1:68" s="78" customFormat="1" ht="70.900000000000006" customHeight="1">
      <c r="A9" s="80" t="s">
        <v>257</v>
      </c>
      <c r="B9" s="80" t="s">
        <v>521</v>
      </c>
      <c r="C9" s="80" t="s">
        <v>522</v>
      </c>
      <c r="D9" s="80" t="s">
        <v>5</v>
      </c>
      <c r="E9" s="80" t="s">
        <v>4</v>
      </c>
      <c r="F9" s="80" t="s">
        <v>523</v>
      </c>
      <c r="G9" s="80" t="s">
        <v>21</v>
      </c>
      <c r="H9" s="80" t="s">
        <v>524</v>
      </c>
      <c r="I9" s="80"/>
      <c r="J9" s="87" t="s">
        <v>525</v>
      </c>
      <c r="K9" s="87" t="s">
        <v>526</v>
      </c>
      <c r="L9" s="87" t="s">
        <v>527</v>
      </c>
      <c r="M9" s="87" t="s">
        <v>528</v>
      </c>
      <c r="N9" s="265"/>
      <c r="O9" s="87" t="s">
        <v>529</v>
      </c>
      <c r="P9" s="87" t="s">
        <v>530</v>
      </c>
      <c r="Q9" s="87" t="s">
        <v>531</v>
      </c>
      <c r="R9" s="87" t="s">
        <v>532</v>
      </c>
      <c r="S9" s="88" t="s">
        <v>937</v>
      </c>
      <c r="T9" s="88" t="s">
        <v>534</v>
      </c>
      <c r="U9" s="88" t="s">
        <v>535</v>
      </c>
      <c r="V9" s="88" t="s">
        <v>536</v>
      </c>
      <c r="W9" s="88" t="s">
        <v>537</v>
      </c>
      <c r="X9" s="88"/>
      <c r="Y9" s="87" t="s">
        <v>538</v>
      </c>
      <c r="Z9" s="84" t="s">
        <v>539</v>
      </c>
      <c r="AA9" s="84" t="s">
        <v>540</v>
      </c>
      <c r="AB9" s="84" t="s">
        <v>541</v>
      </c>
      <c r="AC9" s="84" t="s">
        <v>542</v>
      </c>
      <c r="AD9" s="84" t="s">
        <v>543</v>
      </c>
      <c r="AE9" s="84" t="s">
        <v>544</v>
      </c>
      <c r="AF9" s="84" t="s">
        <v>545</v>
      </c>
      <c r="AG9" s="86" t="s">
        <v>539</v>
      </c>
      <c r="AH9" s="86" t="s">
        <v>540</v>
      </c>
      <c r="AI9" s="86" t="s">
        <v>541</v>
      </c>
      <c r="AJ9" s="86" t="s">
        <v>542</v>
      </c>
      <c r="AK9" s="86" t="s">
        <v>543</v>
      </c>
      <c r="AL9" s="86" t="s">
        <v>544</v>
      </c>
      <c r="AM9" s="86" t="s">
        <v>545</v>
      </c>
      <c r="AN9" s="85" t="s">
        <v>539</v>
      </c>
      <c r="AO9" s="85" t="s">
        <v>540</v>
      </c>
      <c r="AP9" s="85" t="s">
        <v>541</v>
      </c>
      <c r="AQ9" s="85" t="s">
        <v>542</v>
      </c>
      <c r="AR9" s="85" t="s">
        <v>543</v>
      </c>
      <c r="AS9" s="85" t="s">
        <v>544</v>
      </c>
      <c r="AT9" s="85" t="s">
        <v>545</v>
      </c>
      <c r="AU9" s="84" t="s">
        <v>539</v>
      </c>
      <c r="AV9" s="84" t="s">
        <v>546</v>
      </c>
      <c r="AW9" s="86" t="s">
        <v>539</v>
      </c>
      <c r="AX9" s="86" t="s">
        <v>546</v>
      </c>
      <c r="AY9" s="86" t="s">
        <v>548</v>
      </c>
      <c r="AZ9" s="86" t="s">
        <v>547</v>
      </c>
      <c r="BA9" s="85" t="s">
        <v>539</v>
      </c>
      <c r="BB9" s="85" t="s">
        <v>548</v>
      </c>
      <c r="BC9" s="85" t="s">
        <v>549</v>
      </c>
      <c r="BD9" s="85" t="s">
        <v>550</v>
      </c>
      <c r="BE9" s="84" t="s">
        <v>539</v>
      </c>
      <c r="BF9" s="84" t="s">
        <v>551</v>
      </c>
      <c r="BG9" s="84" t="s">
        <v>552</v>
      </c>
      <c r="BH9" s="84" t="s">
        <v>553</v>
      </c>
      <c r="BI9" s="84" t="s">
        <v>554</v>
      </c>
      <c r="BJ9" s="83" t="s">
        <v>555</v>
      </c>
      <c r="BK9" s="83" t="s">
        <v>556</v>
      </c>
      <c r="BL9" s="83" t="s">
        <v>557</v>
      </c>
      <c r="BM9" s="334"/>
      <c r="BN9" s="334"/>
      <c r="BO9" s="334"/>
      <c r="BP9" s="79" t="s">
        <v>32</v>
      </c>
    </row>
    <row r="10" spans="1:68" s="8" customFormat="1" ht="40.15" customHeight="1">
      <c r="A10" s="183" t="s">
        <v>940</v>
      </c>
      <c r="B10" s="182" t="s">
        <v>483</v>
      </c>
      <c r="C10" s="170" t="s">
        <v>52</v>
      </c>
      <c r="D10" s="170" t="s">
        <v>485</v>
      </c>
      <c r="E10" s="179" t="s">
        <v>482</v>
      </c>
      <c r="F10" s="179" t="s">
        <v>809</v>
      </c>
      <c r="G10" s="212" t="s">
        <v>484</v>
      </c>
      <c r="H10" s="170" t="s">
        <v>942</v>
      </c>
      <c r="I10" s="179" t="s">
        <v>2031</v>
      </c>
      <c r="J10" s="206">
        <f>K10</f>
        <v>1101</v>
      </c>
      <c r="K10" s="170">
        <v>1101</v>
      </c>
      <c r="L10" s="179">
        <v>74</v>
      </c>
      <c r="M10" s="170" t="s">
        <v>52</v>
      </c>
      <c r="N10" s="327">
        <v>718</v>
      </c>
      <c r="O10" s="179" t="s">
        <v>946</v>
      </c>
      <c r="P10" s="214" t="str">
        <f>"276, ("&amp;TEXT(276/K10,"0.0%")&amp;")"</f>
        <v>276, (25.1%)</v>
      </c>
      <c r="Q10" s="214" t="str">
        <f>"825, ("&amp;TEXT(825/K10,"0.0%")&amp;")"</f>
        <v>825, (74.9%)</v>
      </c>
      <c r="R10" s="170" t="s">
        <v>950</v>
      </c>
      <c r="S10" s="170" t="s">
        <v>951</v>
      </c>
      <c r="T10" s="170" t="s">
        <v>52</v>
      </c>
      <c r="U10" s="170" t="s">
        <v>52</v>
      </c>
      <c r="V10" s="173">
        <v>0.39900000000000002</v>
      </c>
      <c r="W10" s="173">
        <v>0.38300000000000001</v>
      </c>
      <c r="X10" s="173" t="str">
        <f>"De novo, n (%) / Secondary, n (%): "&amp;R10&amp;
"
Bone marrow blasts median % (range): "&amp;S10&amp;
"
Baseline HgB, median g/dL (range): "&amp;T10&amp;
"
ECOG PS 0/1, N (%): "&amp;U10&amp;
"
Cytogenic risk (good/intermediate): "&amp;V10&amp;
"
Cytogenic risk (poor): "&amp;W10</f>
        <v>De novo, n (%) / Secondary, n (%): Secondary, 168 (15.3%)
Bone marrow blasts median % (range): NR (21% - 30%)
Baseline HgB, median g/dL (range): NR
ECOG PS 0/1, N (%): NR
Cytogenic risk (good/intermediate): 0.399
Cytogenic risk (poor): 0.383</v>
      </c>
      <c r="Y10" s="170" t="s">
        <v>52</v>
      </c>
      <c r="Z10" s="179">
        <v>1101</v>
      </c>
      <c r="AA10" s="179">
        <v>11.6</v>
      </c>
      <c r="AB10" s="218" t="s">
        <v>952</v>
      </c>
      <c r="AC10" s="179" t="s">
        <v>52</v>
      </c>
      <c r="AD10" s="179" t="s">
        <v>52</v>
      </c>
      <c r="AE10" s="179" t="s">
        <v>52</v>
      </c>
      <c r="AF10" s="176" t="str">
        <f>"Overall survival for all patients is "&amp;AA10&amp;" months, Cl="&amp;AB10&amp;", p="&amp;AE10</f>
        <v>Overall survival for all patients is 11.6 months, Cl=10.7 - 12.4 , p=NR</v>
      </c>
      <c r="AG10" s="174">
        <v>276</v>
      </c>
      <c r="AH10" s="174">
        <v>9.6</v>
      </c>
      <c r="AI10" s="170" t="s">
        <v>953</v>
      </c>
      <c r="AJ10" s="170" t="s">
        <v>52</v>
      </c>
      <c r="AK10" s="170" t="s">
        <v>52</v>
      </c>
      <c r="AL10" s="177" t="s">
        <v>52</v>
      </c>
      <c r="AM10" s="176" t="str">
        <f>"Overall survival for AML patients is "&amp;AH10&amp;" months, Cl="&amp;AI10&amp;", p="&amp;AL10</f>
        <v>Overall survival for AML patients is 9.6 months, Cl=8.2 - 11.3, p=NR</v>
      </c>
      <c r="AN10" s="174">
        <v>825</v>
      </c>
      <c r="AO10" s="174">
        <v>12.4</v>
      </c>
      <c r="AP10" s="174" t="s">
        <v>954</v>
      </c>
      <c r="AQ10" s="174" t="s">
        <v>52</v>
      </c>
      <c r="AR10" s="174" t="s">
        <v>52</v>
      </c>
      <c r="AS10" s="177" t="s">
        <v>52</v>
      </c>
      <c r="AT10" s="176" t="str">
        <f>"Overall survival for MDS patients is "&amp;AO10&amp;" months, Cl="&amp;AP10&amp;", p="&amp;AS10</f>
        <v>Overall survival for MDS patients is 12.4 months, Cl=11.3 - 13.8, p=NR</v>
      </c>
      <c r="AU10" s="179">
        <v>293</v>
      </c>
      <c r="AV10" s="72" t="s">
        <v>956</v>
      </c>
      <c r="AW10" s="170" t="s">
        <v>52</v>
      </c>
      <c r="AX10" s="17" t="s">
        <v>52</v>
      </c>
      <c r="AY10" s="17" t="s">
        <v>52</v>
      </c>
      <c r="AZ10" s="170" t="s">
        <v>52</v>
      </c>
      <c r="BA10" s="170" t="s">
        <v>52</v>
      </c>
      <c r="BB10" s="173" t="s">
        <v>52</v>
      </c>
      <c r="BC10" s="173" t="s">
        <v>52</v>
      </c>
      <c r="BD10" s="170" t="s">
        <v>52</v>
      </c>
      <c r="BE10" s="170" t="s">
        <v>52</v>
      </c>
      <c r="BF10" s="170" t="s">
        <v>52</v>
      </c>
      <c r="BG10" s="170" t="s">
        <v>52</v>
      </c>
      <c r="BH10" s="170" t="s">
        <v>52</v>
      </c>
      <c r="BI10" s="170" t="s">
        <v>52</v>
      </c>
      <c r="BJ10" s="170" t="s">
        <v>52</v>
      </c>
      <c r="BK10" s="170" t="s">
        <v>52</v>
      </c>
      <c r="BL10" s="170" t="s">
        <v>52</v>
      </c>
      <c r="BM10" s="335" t="s">
        <v>2054</v>
      </c>
      <c r="BN10" s="335"/>
      <c r="BO10" s="335"/>
      <c r="BP10" s="53" t="str">
        <f>BM10&amp;", "&amp;BN10&amp;", "&amp;BO10</f>
        <v xml:space="preserve">OS, , </v>
      </c>
    </row>
    <row r="11" spans="1:68" s="8" customFormat="1" ht="40.15" customHeight="1">
      <c r="A11" s="183" t="s">
        <v>958</v>
      </c>
      <c r="B11" s="182" t="s">
        <v>959</v>
      </c>
      <c r="C11" s="170" t="s">
        <v>52</v>
      </c>
      <c r="D11" s="170" t="s">
        <v>485</v>
      </c>
      <c r="E11" s="179" t="s">
        <v>482</v>
      </c>
      <c r="F11" s="179" t="s">
        <v>809</v>
      </c>
      <c r="G11" s="212" t="s">
        <v>960</v>
      </c>
      <c r="H11" s="170" t="s">
        <v>52</v>
      </c>
      <c r="I11" s="179" t="s">
        <v>2032</v>
      </c>
      <c r="J11" s="206">
        <f>K11</f>
        <v>145</v>
      </c>
      <c r="K11" s="170">
        <v>145</v>
      </c>
      <c r="L11" s="170" t="s">
        <v>52</v>
      </c>
      <c r="M11" s="170" t="s">
        <v>52</v>
      </c>
      <c r="N11" s="328" t="s">
        <v>52</v>
      </c>
      <c r="O11" s="170" t="s">
        <v>52</v>
      </c>
      <c r="P11" s="170" t="s">
        <v>52</v>
      </c>
      <c r="Q11" s="170" t="s">
        <v>52</v>
      </c>
      <c r="R11" s="170" t="s">
        <v>963</v>
      </c>
      <c r="S11" s="170" t="s">
        <v>964</v>
      </c>
      <c r="T11" s="170" t="s">
        <v>52</v>
      </c>
      <c r="U11" s="170" t="s">
        <v>52</v>
      </c>
      <c r="V11" s="170" t="s">
        <v>52</v>
      </c>
      <c r="W11" s="170" t="s">
        <v>52</v>
      </c>
      <c r="X11" s="173" t="str">
        <f t="shared" ref="X11:X33" si="0">"De novo, n (%) / Secondary, n (%): "&amp;R11&amp;
"
Bone marrow blasts median % (range): "&amp;S11&amp;
"
Baseline HgB, median g/dL (range): "&amp;T11&amp;
"
ECOG PS 0/1, N (%): "&amp;U11&amp;
"
Cytogenic risk (good/intermediate): "&amp;V11&amp;
"
Cytogenic risk (poor): "&amp;W11</f>
        <v>De novo, n (%) / Secondary, n (%): Primary MDS, 83 (57.2%) 
Secondary MDS, 5 (3.4%)
AML/CMML, 57 (39.3%) 
Bone marrow blasts median % (range): NR (20% - 30%)
Baseline HgB, median g/dL (range): NR
ECOG PS 0/1, N (%): NR
Cytogenic risk (good/intermediate): NR
Cytogenic risk (poor): NR</v>
      </c>
      <c r="Y11" s="170" t="s">
        <v>52</v>
      </c>
      <c r="Z11" s="170" t="s">
        <v>52</v>
      </c>
      <c r="AA11" s="170" t="s">
        <v>52</v>
      </c>
      <c r="AB11" s="170" t="s">
        <v>52</v>
      </c>
      <c r="AC11" s="170" t="s">
        <v>52</v>
      </c>
      <c r="AD11" s="170" t="s">
        <v>52</v>
      </c>
      <c r="AE11" s="170" t="s">
        <v>52</v>
      </c>
      <c r="AF11" s="210" t="s">
        <v>52</v>
      </c>
      <c r="AG11" s="170" t="s">
        <v>52</v>
      </c>
      <c r="AH11" s="170" t="s">
        <v>52</v>
      </c>
      <c r="AI11" s="170" t="s">
        <v>52</v>
      </c>
      <c r="AJ11" s="170" t="s">
        <v>52</v>
      </c>
      <c r="AK11" s="170" t="s">
        <v>52</v>
      </c>
      <c r="AL11" s="170" t="s">
        <v>52</v>
      </c>
      <c r="AM11" s="175" t="s">
        <v>52</v>
      </c>
      <c r="AN11" s="170" t="s">
        <v>52</v>
      </c>
      <c r="AO11" s="170" t="s">
        <v>52</v>
      </c>
      <c r="AP11" s="170" t="s">
        <v>52</v>
      </c>
      <c r="AQ11" s="170" t="s">
        <v>52</v>
      </c>
      <c r="AR11" s="170" t="s">
        <v>52</v>
      </c>
      <c r="AS11" s="170" t="s">
        <v>52</v>
      </c>
      <c r="AT11" s="175" t="s">
        <v>52</v>
      </c>
      <c r="AU11" s="170" t="s">
        <v>52</v>
      </c>
      <c r="AV11" s="72" t="s">
        <v>52</v>
      </c>
      <c r="AW11" s="170" t="s">
        <v>52</v>
      </c>
      <c r="AX11" s="17" t="s">
        <v>52</v>
      </c>
      <c r="AY11" s="17" t="s">
        <v>52</v>
      </c>
      <c r="AZ11" s="170" t="s">
        <v>52</v>
      </c>
      <c r="BA11" s="170" t="s">
        <v>52</v>
      </c>
      <c r="BB11" s="173" t="s">
        <v>52</v>
      </c>
      <c r="BC11" s="173" t="s">
        <v>52</v>
      </c>
      <c r="BD11" s="170" t="s">
        <v>52</v>
      </c>
      <c r="BE11" s="170" t="s">
        <v>52</v>
      </c>
      <c r="BF11" s="170" t="s">
        <v>52</v>
      </c>
      <c r="BG11" s="170" t="s">
        <v>52</v>
      </c>
      <c r="BH11" s="170" t="s">
        <v>52</v>
      </c>
      <c r="BI11" s="170" t="s">
        <v>52</v>
      </c>
      <c r="BJ11" s="170" t="s">
        <v>52</v>
      </c>
      <c r="BK11" s="170" t="s">
        <v>52</v>
      </c>
      <c r="BL11" s="170" t="s">
        <v>52</v>
      </c>
      <c r="BM11" s="335"/>
      <c r="BN11" s="335"/>
      <c r="BO11" s="335"/>
      <c r="BP11" s="53" t="str">
        <f>BM11&amp;", "&amp;BN11&amp;", "&amp;BO11</f>
        <v xml:space="preserve">, , </v>
      </c>
    </row>
    <row r="12" spans="1:68" s="8" customFormat="1" ht="40.15" customHeight="1">
      <c r="A12" s="183" t="s">
        <v>966</v>
      </c>
      <c r="B12" s="182" t="s">
        <v>967</v>
      </c>
      <c r="C12" s="170" t="s">
        <v>52</v>
      </c>
      <c r="D12" s="170" t="s">
        <v>485</v>
      </c>
      <c r="E12" s="179" t="s">
        <v>482</v>
      </c>
      <c r="F12" s="179" t="s">
        <v>809</v>
      </c>
      <c r="G12" s="217" t="s">
        <v>968</v>
      </c>
      <c r="H12" s="170" t="s">
        <v>52</v>
      </c>
      <c r="I12" s="179" t="s">
        <v>2033</v>
      </c>
      <c r="J12" s="180">
        <v>79</v>
      </c>
      <c r="K12" s="170">
        <v>79</v>
      </c>
      <c r="L12" s="170">
        <v>77</v>
      </c>
      <c r="M12" s="170">
        <v>77</v>
      </c>
      <c r="N12" s="328">
        <f>0.656*K12</f>
        <v>51.824000000000005</v>
      </c>
      <c r="O12" s="173">
        <v>0.65600000000000003</v>
      </c>
      <c r="P12" s="179" t="s">
        <v>972</v>
      </c>
      <c r="Q12" s="179" t="s">
        <v>973</v>
      </c>
      <c r="R12" s="170" t="s">
        <v>52</v>
      </c>
      <c r="S12" s="170" t="s">
        <v>964</v>
      </c>
      <c r="T12" s="170" t="s">
        <v>974</v>
      </c>
      <c r="U12" s="178" t="s">
        <v>975</v>
      </c>
      <c r="V12" s="173">
        <v>0.68</v>
      </c>
      <c r="W12" s="188">
        <v>0.20499999999999999</v>
      </c>
      <c r="X12" s="173" t="str">
        <f t="shared" si="0"/>
        <v>De novo, n (%) / Secondary, n (%): NR
Bone marrow blasts median % (range): NR (20% - 30%)
Baseline HgB, median g/dL (range): 9.1g/dL (6.3g/dL - 13.4g/dL)
ECOG PS 0/1, N (%): 55 (69.6%)
Cytogenic risk (good/intermediate): 0.68
Cytogenic risk (poor): 0.205</v>
      </c>
      <c r="Y12" s="170" t="s">
        <v>978</v>
      </c>
      <c r="Z12" s="170">
        <v>79</v>
      </c>
      <c r="AA12" s="170">
        <v>13.1</v>
      </c>
      <c r="AB12" s="170" t="s">
        <v>52</v>
      </c>
      <c r="AC12" s="170" t="s">
        <v>52</v>
      </c>
      <c r="AD12" s="170" t="s">
        <v>52</v>
      </c>
      <c r="AE12" s="170" t="s">
        <v>52</v>
      </c>
      <c r="AF12" s="176" t="str">
        <f>"Overall survival for all patients is "&amp;AA12&amp;" months, Cl="&amp;AB12&amp;", p="&amp;AE12</f>
        <v>Overall survival for all patients is 13.1 months, Cl=NR, p=NR</v>
      </c>
      <c r="AG12" s="170">
        <v>79</v>
      </c>
      <c r="AH12" s="170">
        <v>13.1</v>
      </c>
      <c r="AI12" s="170" t="s">
        <v>52</v>
      </c>
      <c r="AJ12" s="170" t="s">
        <v>52</v>
      </c>
      <c r="AK12" s="170" t="s">
        <v>52</v>
      </c>
      <c r="AL12" s="177" t="s">
        <v>52</v>
      </c>
      <c r="AM12" s="176" t="str">
        <f>"Overall survival for all patients is "&amp;AH12&amp;" months, Cl="&amp;AI12&amp;", p="&amp;AL12</f>
        <v>Overall survival for all patients is 13.1 months, Cl=NR, p=NR</v>
      </c>
      <c r="AN12" s="170" t="s">
        <v>52</v>
      </c>
      <c r="AO12" s="170" t="s">
        <v>52</v>
      </c>
      <c r="AP12" s="170" t="s">
        <v>52</v>
      </c>
      <c r="AQ12" s="170" t="s">
        <v>52</v>
      </c>
      <c r="AR12" s="170" t="s">
        <v>52</v>
      </c>
      <c r="AS12" s="170" t="s">
        <v>52</v>
      </c>
      <c r="AT12" s="175" t="s">
        <v>52</v>
      </c>
      <c r="AU12" s="170">
        <v>79</v>
      </c>
      <c r="AV12" s="72">
        <f>16.5%+3.8%</f>
        <v>0.20300000000000001</v>
      </c>
      <c r="AW12" s="170">
        <v>79</v>
      </c>
      <c r="AX12" s="64">
        <f>16.5%+3.8%</f>
        <v>0.20300000000000001</v>
      </c>
      <c r="AY12" s="17">
        <v>0.16500000000000001</v>
      </c>
      <c r="AZ12" s="174" t="str">
        <f>AW12 &amp;" patients had "&amp;TEXT(AX12,"0.0%")&amp;" CR and "&amp;TEXT(AY12,"0.0%")&amp;" CRi"</f>
        <v>79 patients had 20.3% CR and 16.5% CRi</v>
      </c>
      <c r="BA12" s="170" t="s">
        <v>52</v>
      </c>
      <c r="BB12" s="173" t="s">
        <v>52</v>
      </c>
      <c r="BC12" s="173" t="s">
        <v>52</v>
      </c>
      <c r="BD12" s="170" t="s">
        <v>52</v>
      </c>
      <c r="BE12" s="172" t="s">
        <v>52</v>
      </c>
      <c r="BF12" s="172" t="s">
        <v>52</v>
      </c>
      <c r="BG12" s="172" t="s">
        <v>52</v>
      </c>
      <c r="BH12" s="172" t="s">
        <v>52</v>
      </c>
      <c r="BI12" s="172" t="s">
        <v>52</v>
      </c>
      <c r="BJ12" s="171" t="s">
        <v>981</v>
      </c>
      <c r="BK12" s="170" t="s">
        <v>52</v>
      </c>
      <c r="BL12" s="170" t="s">
        <v>52</v>
      </c>
      <c r="BM12" s="335" t="s">
        <v>2054</v>
      </c>
      <c r="BN12" s="335" t="s">
        <v>2055</v>
      </c>
      <c r="BO12" s="335" t="s">
        <v>2056</v>
      </c>
      <c r="BP12" s="53" t="str">
        <f t="shared" ref="BP12:BP33" si="1">BM12&amp;", "&amp;BN12&amp;", "&amp;BO12</f>
        <v>OS, Response, Treatment Pattern</v>
      </c>
    </row>
    <row r="13" spans="1:68" s="8" customFormat="1" ht="40.15" customHeight="1">
      <c r="A13" s="183" t="s">
        <v>982</v>
      </c>
      <c r="B13" s="182" t="s">
        <v>983</v>
      </c>
      <c r="C13" s="170" t="s">
        <v>52</v>
      </c>
      <c r="D13" s="189" t="s">
        <v>485</v>
      </c>
      <c r="E13" s="179" t="s">
        <v>482</v>
      </c>
      <c r="F13" s="179" t="s">
        <v>809</v>
      </c>
      <c r="G13" s="212" t="s">
        <v>984</v>
      </c>
      <c r="H13" s="170" t="s">
        <v>52</v>
      </c>
      <c r="I13" s="179" t="s">
        <v>2034</v>
      </c>
      <c r="J13" s="206">
        <f>K13</f>
        <v>54</v>
      </c>
      <c r="K13" s="170">
        <v>54</v>
      </c>
      <c r="L13" s="170">
        <v>68.5</v>
      </c>
      <c r="M13" s="170" t="s">
        <v>52</v>
      </c>
      <c r="N13" s="328">
        <v>21</v>
      </c>
      <c r="O13" s="170" t="str">
        <f>"21, ("&amp;TEXT(21/54,"0.0%")&amp;")"</f>
        <v>21, (38.9%)</v>
      </c>
      <c r="P13" s="170" t="s">
        <v>52</v>
      </c>
      <c r="Q13" s="170" t="s">
        <v>52</v>
      </c>
      <c r="R13" s="170" t="s">
        <v>52</v>
      </c>
      <c r="S13" s="170" t="s">
        <v>988</v>
      </c>
      <c r="T13" s="170" t="s">
        <v>52</v>
      </c>
      <c r="U13" s="170" t="s">
        <v>52</v>
      </c>
      <c r="V13" s="170" t="s">
        <v>52</v>
      </c>
      <c r="W13" s="170" t="s">
        <v>52</v>
      </c>
      <c r="X13" s="173" t="str">
        <f t="shared" si="0"/>
        <v>De novo, n (%) / Secondary, n (%): NR
Bone marrow blasts median % (range): 15% (1% - 19%)
Baseline HgB, median g/dL (range): NR
ECOG PS 0/1, N (%): NR
Cytogenic risk (good/intermediate): NR
Cytogenic risk (poor): NR</v>
      </c>
      <c r="Y13" s="170" t="s">
        <v>52</v>
      </c>
      <c r="Z13" s="170">
        <v>54</v>
      </c>
      <c r="AA13" s="170" t="s">
        <v>52</v>
      </c>
      <c r="AB13" s="170" t="s">
        <v>52</v>
      </c>
      <c r="AC13" s="170" t="s">
        <v>52</v>
      </c>
      <c r="AD13" s="170" t="s">
        <v>52</v>
      </c>
      <c r="AE13" s="170" t="s">
        <v>52</v>
      </c>
      <c r="AF13" s="210" t="s">
        <v>990</v>
      </c>
      <c r="AG13" s="170" t="s">
        <v>52</v>
      </c>
      <c r="AH13" s="170" t="s">
        <v>52</v>
      </c>
      <c r="AI13" s="170" t="s">
        <v>52</v>
      </c>
      <c r="AJ13" s="170" t="s">
        <v>52</v>
      </c>
      <c r="AK13" s="170" t="s">
        <v>52</v>
      </c>
      <c r="AL13" s="170" t="s">
        <v>52</v>
      </c>
      <c r="AM13" s="175" t="s">
        <v>52</v>
      </c>
      <c r="AN13" s="170" t="s">
        <v>52</v>
      </c>
      <c r="AO13" s="170" t="s">
        <v>52</v>
      </c>
      <c r="AP13" s="170" t="s">
        <v>52</v>
      </c>
      <c r="AQ13" s="170" t="s">
        <v>52</v>
      </c>
      <c r="AR13" s="170" t="s">
        <v>52</v>
      </c>
      <c r="AS13" s="170" t="s">
        <v>52</v>
      </c>
      <c r="AT13" s="175" t="s">
        <v>52</v>
      </c>
      <c r="AU13" s="170">
        <v>54</v>
      </c>
      <c r="AV13" s="72" t="s">
        <v>992</v>
      </c>
      <c r="AW13" s="170" t="s">
        <v>52</v>
      </c>
      <c r="AX13" s="17" t="s">
        <v>52</v>
      </c>
      <c r="AY13" s="17" t="s">
        <v>52</v>
      </c>
      <c r="AZ13" s="170" t="s">
        <v>52</v>
      </c>
      <c r="BA13" s="170" t="s">
        <v>52</v>
      </c>
      <c r="BB13" s="173" t="s">
        <v>52</v>
      </c>
      <c r="BC13" s="173" t="s">
        <v>52</v>
      </c>
      <c r="BD13" s="170" t="s">
        <v>52</v>
      </c>
      <c r="BE13" s="170" t="s">
        <v>52</v>
      </c>
      <c r="BF13" s="170" t="s">
        <v>52</v>
      </c>
      <c r="BG13" s="170" t="s">
        <v>52</v>
      </c>
      <c r="BH13" s="170" t="s">
        <v>52</v>
      </c>
      <c r="BI13" s="170" t="s">
        <v>52</v>
      </c>
      <c r="BJ13" s="170" t="s">
        <v>52</v>
      </c>
      <c r="BK13" s="170" t="s">
        <v>52</v>
      </c>
      <c r="BL13" s="170" t="s">
        <v>52</v>
      </c>
      <c r="BM13" s="335" t="s">
        <v>2054</v>
      </c>
      <c r="BN13" s="335"/>
      <c r="BO13" s="335"/>
      <c r="BP13" s="53" t="str">
        <f t="shared" si="1"/>
        <v xml:space="preserve">OS, , </v>
      </c>
    </row>
    <row r="14" spans="1:68" s="8" customFormat="1" ht="40.15" customHeight="1">
      <c r="A14" s="183" t="s">
        <v>996</v>
      </c>
      <c r="B14" s="182" t="s">
        <v>997</v>
      </c>
      <c r="C14" s="170" t="s">
        <v>52</v>
      </c>
      <c r="D14" s="189" t="s">
        <v>998</v>
      </c>
      <c r="E14" s="179" t="s">
        <v>482</v>
      </c>
      <c r="F14" s="179" t="s">
        <v>809</v>
      </c>
      <c r="G14" s="212" t="s">
        <v>999</v>
      </c>
      <c r="H14" s="170" t="s">
        <v>52</v>
      </c>
      <c r="I14" s="179" t="s">
        <v>2035</v>
      </c>
      <c r="J14" s="180">
        <v>49</v>
      </c>
      <c r="K14" s="170">
        <v>49</v>
      </c>
      <c r="L14" s="170">
        <v>74.7</v>
      </c>
      <c r="M14" s="170" t="s">
        <v>52</v>
      </c>
      <c r="N14" s="328">
        <v>34</v>
      </c>
      <c r="O14" s="170" t="s">
        <v>1002</v>
      </c>
      <c r="P14" s="214">
        <v>0.26500000000000001</v>
      </c>
      <c r="Q14" s="214">
        <v>0.69399999999999995</v>
      </c>
      <c r="R14" s="170" t="s">
        <v>52</v>
      </c>
      <c r="S14" s="189" t="s">
        <v>1004</v>
      </c>
      <c r="T14" s="170" t="s">
        <v>52</v>
      </c>
      <c r="U14" s="216" t="s">
        <v>1005</v>
      </c>
      <c r="V14" s="170" t="s">
        <v>52</v>
      </c>
      <c r="W14" s="170" t="s">
        <v>52</v>
      </c>
      <c r="X14" s="173" t="str">
        <f t="shared" si="0"/>
        <v>De novo, n (%) / Secondary, n (%): NR
Bone marrow blasts median % (range): NR (20%-30%)
Baseline HgB, median g/dL (range): NR
ECOG PS 0/1, N (%): 34 (69.4%)
Cytogenic risk (good/intermediate): NR
Cytogenic risk (poor): NR</v>
      </c>
      <c r="Y14" s="170" t="s">
        <v>52</v>
      </c>
      <c r="Z14" s="170">
        <v>49</v>
      </c>
      <c r="AA14" s="215">
        <f>490/30.4</f>
        <v>16.118421052631579</v>
      </c>
      <c r="AB14" s="170" t="str">
        <f>TEXT(326/30.4,"0.0")&amp;" - "&amp;TEXT(555/30.4, "0.0")</f>
        <v>10.7 - 18.3</v>
      </c>
      <c r="AC14" s="170" t="s">
        <v>52</v>
      </c>
      <c r="AD14" s="170" t="s">
        <v>52</v>
      </c>
      <c r="AE14" s="170" t="s">
        <v>52</v>
      </c>
      <c r="AF14" s="176" t="str">
        <f>"Overall survival for all patients is "&amp;TEXT(AA14,"0.0")&amp;" months, Cl="&amp;AB14&amp;", p="&amp;AE14</f>
        <v>Overall survival for all patients is 16.1 months, Cl=10.7 - 18.3, p=NR</v>
      </c>
      <c r="AG14" s="171">
        <v>13</v>
      </c>
      <c r="AH14" s="177">
        <f>363/30.4</f>
        <v>11.940789473684211</v>
      </c>
      <c r="AI14" s="170" t="str">
        <f>TEXT(115/30.4,"0.0")&amp;" - "&amp;TEXT(576/30.4, "0.0")</f>
        <v>3.8 - 18.9</v>
      </c>
      <c r="AJ14" s="170" t="s">
        <v>52</v>
      </c>
      <c r="AK14" s="170" t="s">
        <v>52</v>
      </c>
      <c r="AL14" s="170" t="s">
        <v>52</v>
      </c>
      <c r="AM14" s="176" t="str">
        <f>"Overall survival for AML patients is "&amp;TEXT(AH14,"0.0")&amp;" months, Cl="&amp;AI14&amp;", p="&amp;AL14</f>
        <v>Overall survival for AML patients is 11.9 months, Cl=3.8 - 18.9, p=NR</v>
      </c>
      <c r="AN14" s="170">
        <v>34</v>
      </c>
      <c r="AO14" s="177">
        <f>501/30.4</f>
        <v>16.480263157894736</v>
      </c>
      <c r="AP14" s="170" t="str">
        <f>TEXT(317/30.4,"0.0")&amp;" - "&amp;TEXT(665/30.4, "0.0")</f>
        <v>10.4 - 21.9</v>
      </c>
      <c r="AQ14" s="170" t="s">
        <v>52</v>
      </c>
      <c r="AR14" s="170" t="s">
        <v>52</v>
      </c>
      <c r="AS14" s="170" t="s">
        <v>52</v>
      </c>
      <c r="AT14" s="176" t="str">
        <f>"Overall survival for MDS patients is "&amp;TEXT(AO14,"0.0")&amp;" months, Cl="&amp;AP14&amp;", p="&amp;AS14</f>
        <v>Overall survival for MDS patients is 16.5 months, Cl=10.4 - 21.9, p=NR</v>
      </c>
      <c r="AU14" s="170">
        <v>38</v>
      </c>
      <c r="AV14" s="72">
        <v>0.184</v>
      </c>
      <c r="AW14" s="171">
        <v>9</v>
      </c>
      <c r="AX14" s="64">
        <f>44.4%</f>
        <v>0.44400000000000001</v>
      </c>
      <c r="AY14" s="17" t="s">
        <v>52</v>
      </c>
      <c r="AZ14" s="171" t="s">
        <v>1010</v>
      </c>
      <c r="BA14" s="170" t="s">
        <v>52</v>
      </c>
      <c r="BB14" s="173" t="s">
        <v>52</v>
      </c>
      <c r="BC14" s="173" t="s">
        <v>52</v>
      </c>
      <c r="BD14" s="170" t="s">
        <v>52</v>
      </c>
      <c r="BE14" s="170" t="s">
        <v>52</v>
      </c>
      <c r="BF14" s="170" t="s">
        <v>52</v>
      </c>
      <c r="BG14" s="170" t="s">
        <v>52</v>
      </c>
      <c r="BH14" s="170" t="s">
        <v>52</v>
      </c>
      <c r="BI14" s="170" t="s">
        <v>52</v>
      </c>
      <c r="BJ14" s="197">
        <f>(32*0.438)/49</f>
        <v>0.28604081632653061</v>
      </c>
      <c r="BK14" s="170" t="s">
        <v>52</v>
      </c>
      <c r="BL14" s="170" t="s">
        <v>52</v>
      </c>
      <c r="BM14" s="335" t="s">
        <v>2054</v>
      </c>
      <c r="BN14" s="335" t="s">
        <v>2055</v>
      </c>
      <c r="BO14" s="335" t="s">
        <v>2056</v>
      </c>
      <c r="BP14" s="53" t="str">
        <f t="shared" si="1"/>
        <v>OS, Response, Treatment Pattern</v>
      </c>
    </row>
    <row r="15" spans="1:68" s="8" customFormat="1" ht="40.15" customHeight="1">
      <c r="A15" s="183" t="s">
        <v>1013</v>
      </c>
      <c r="B15" s="182" t="s">
        <v>1014</v>
      </c>
      <c r="C15" s="170" t="s">
        <v>52</v>
      </c>
      <c r="D15" s="170" t="s">
        <v>1015</v>
      </c>
      <c r="E15" s="179" t="s">
        <v>482</v>
      </c>
      <c r="F15" s="179" t="s">
        <v>809</v>
      </c>
      <c r="G15" s="212" t="s">
        <v>999</v>
      </c>
      <c r="H15" s="170" t="s">
        <v>1016</v>
      </c>
      <c r="I15" s="179" t="s">
        <v>2036</v>
      </c>
      <c r="J15" s="180">
        <v>33</v>
      </c>
      <c r="K15" s="170">
        <v>33</v>
      </c>
      <c r="L15" s="170">
        <v>70</v>
      </c>
      <c r="M15" s="170" t="s">
        <v>52</v>
      </c>
      <c r="N15" s="328" t="s">
        <v>52</v>
      </c>
      <c r="O15" s="170" t="s">
        <v>52</v>
      </c>
      <c r="P15" s="214" t="str">
        <f>"18, ("&amp;TEXT(18/K15,"0.0%")&amp;")"</f>
        <v>18, (54.5%)</v>
      </c>
      <c r="Q15" s="214" t="str">
        <f>"13, ("&amp;TEXT(13/K15,"0.0%")&amp;")"</f>
        <v>13, (39.4%)</v>
      </c>
      <c r="R15" s="170" t="s">
        <v>52</v>
      </c>
      <c r="S15" s="189" t="s">
        <v>52</v>
      </c>
      <c r="T15" s="170" t="s">
        <v>52</v>
      </c>
      <c r="U15" s="170" t="s">
        <v>52</v>
      </c>
      <c r="V15" s="170" t="s">
        <v>52</v>
      </c>
      <c r="W15" s="170" t="s">
        <v>52</v>
      </c>
      <c r="X15" s="173" t="str">
        <f t="shared" si="0"/>
        <v>De novo, n (%) / Secondary, n (%): NR
Bone marrow blasts median % (range): NR
Baseline HgB, median g/dL (range): NR
ECOG PS 0/1, N (%): NR
Cytogenic risk (good/intermediate): NR
Cytogenic risk (poor): NR</v>
      </c>
      <c r="Y15" s="170" t="s">
        <v>1018</v>
      </c>
      <c r="Z15" s="170">
        <v>13</v>
      </c>
      <c r="AA15" s="170">
        <v>14</v>
      </c>
      <c r="AB15" s="170" t="s">
        <v>52</v>
      </c>
      <c r="AC15" s="170" t="s">
        <v>52</v>
      </c>
      <c r="AD15" s="170" t="s">
        <v>52</v>
      </c>
      <c r="AE15" s="170" t="s">
        <v>52</v>
      </c>
      <c r="AF15" s="210" t="s">
        <v>1021</v>
      </c>
      <c r="AG15" s="170" t="s">
        <v>52</v>
      </c>
      <c r="AH15" s="170" t="s">
        <v>52</v>
      </c>
      <c r="AI15" s="170" t="s">
        <v>52</v>
      </c>
      <c r="AJ15" s="170" t="s">
        <v>52</v>
      </c>
      <c r="AK15" s="170" t="s">
        <v>52</v>
      </c>
      <c r="AL15" s="170" t="s">
        <v>52</v>
      </c>
      <c r="AM15" s="175" t="s">
        <v>52</v>
      </c>
      <c r="AN15" s="170" t="s">
        <v>52</v>
      </c>
      <c r="AO15" s="170" t="s">
        <v>52</v>
      </c>
      <c r="AP15" s="170" t="s">
        <v>52</v>
      </c>
      <c r="AQ15" s="170" t="s">
        <v>52</v>
      </c>
      <c r="AR15" s="170" t="s">
        <v>52</v>
      </c>
      <c r="AS15" s="170" t="s">
        <v>52</v>
      </c>
      <c r="AT15" s="175" t="s">
        <v>52</v>
      </c>
      <c r="AU15" s="170" t="s">
        <v>52</v>
      </c>
      <c r="AV15" s="72" t="s">
        <v>52</v>
      </c>
      <c r="AW15" s="171">
        <v>18</v>
      </c>
      <c r="AX15" s="64" t="s">
        <v>1024</v>
      </c>
      <c r="AY15" s="17">
        <v>0.05</v>
      </c>
      <c r="AZ15" s="171" t="s">
        <v>1025</v>
      </c>
      <c r="BA15" s="170">
        <v>13</v>
      </c>
      <c r="BB15" s="173">
        <v>0.31</v>
      </c>
      <c r="BC15" s="173" t="s">
        <v>52</v>
      </c>
      <c r="BD15" s="171" t="s">
        <v>1027</v>
      </c>
      <c r="BE15" s="189" t="s">
        <v>52</v>
      </c>
      <c r="BF15" s="189" t="s">
        <v>52</v>
      </c>
      <c r="BG15" s="189" t="s">
        <v>52</v>
      </c>
      <c r="BH15" s="189" t="s">
        <v>52</v>
      </c>
      <c r="BI15" s="189" t="s">
        <v>52</v>
      </c>
      <c r="BJ15" s="170" t="s">
        <v>52</v>
      </c>
      <c r="BK15" s="170" t="s">
        <v>52</v>
      </c>
      <c r="BL15" s="170" t="s">
        <v>52</v>
      </c>
      <c r="BM15" s="335" t="s">
        <v>2054</v>
      </c>
      <c r="BN15" s="335" t="s">
        <v>2055</v>
      </c>
      <c r="BO15" s="335"/>
      <c r="BP15" s="53" t="str">
        <f t="shared" si="1"/>
        <v xml:space="preserve">OS, Response, </v>
      </c>
    </row>
    <row r="16" spans="1:68" s="8" customFormat="1" ht="40.15" customHeight="1">
      <c r="A16" s="183" t="s">
        <v>1028</v>
      </c>
      <c r="B16" s="182" t="s">
        <v>1029</v>
      </c>
      <c r="C16" s="189" t="s">
        <v>52</v>
      </c>
      <c r="D16" s="189" t="s">
        <v>1030</v>
      </c>
      <c r="E16" s="213" t="s">
        <v>1963</v>
      </c>
      <c r="F16" s="213" t="s">
        <v>809</v>
      </c>
      <c r="G16" s="212" t="s">
        <v>484</v>
      </c>
      <c r="H16" s="170" t="s">
        <v>1034</v>
      </c>
      <c r="I16" s="179" t="s">
        <v>2037</v>
      </c>
      <c r="J16" s="180">
        <v>225</v>
      </c>
      <c r="K16" s="189">
        <v>877</v>
      </c>
      <c r="L16" s="189">
        <v>73</v>
      </c>
      <c r="M16" s="189">
        <v>73</v>
      </c>
      <c r="N16" s="329">
        <v>579</v>
      </c>
      <c r="O16" s="189" t="s">
        <v>1035</v>
      </c>
      <c r="P16" s="211" t="s">
        <v>1036</v>
      </c>
      <c r="Q16" s="211" t="s">
        <v>1037</v>
      </c>
      <c r="R16" s="189" t="s">
        <v>52</v>
      </c>
      <c r="S16" s="189" t="s">
        <v>951</v>
      </c>
      <c r="T16" s="170" t="s">
        <v>52</v>
      </c>
      <c r="U16" s="170" t="s">
        <v>52</v>
      </c>
      <c r="V16" s="170" t="s">
        <v>52</v>
      </c>
      <c r="W16" s="170" t="s">
        <v>52</v>
      </c>
      <c r="X16" s="173" t="str">
        <f t="shared" si="0"/>
        <v>De novo, n (%) / Secondary, n (%): NR
Bone marrow blasts median % (range): NR (21% - 30%)
Baseline HgB, median g/dL (range): NR
ECOG PS 0/1, N (%): NR
Cytogenic risk (good/intermediate): NR
Cytogenic risk (poor): NR</v>
      </c>
      <c r="Y16" s="189" t="s">
        <v>52</v>
      </c>
      <c r="Z16" s="189">
        <v>877</v>
      </c>
      <c r="AA16" s="189">
        <v>16.100000000000001</v>
      </c>
      <c r="AB16" s="170" t="s">
        <v>52</v>
      </c>
      <c r="AC16" s="170" t="s">
        <v>52</v>
      </c>
      <c r="AD16" s="170" t="s">
        <v>52</v>
      </c>
      <c r="AE16" s="170" t="s">
        <v>52</v>
      </c>
      <c r="AF16" s="176" t="str">
        <f>"Overall survival for all patients is "&amp;AA16&amp;" months, Cl="&amp;AB16&amp;", p="&amp;AE16</f>
        <v>Overall survival for all patients is 16.1 months, Cl=NR, p=NR</v>
      </c>
      <c r="AG16" s="171" t="s">
        <v>52</v>
      </c>
      <c r="AH16" s="171" t="s">
        <v>52</v>
      </c>
      <c r="AI16" s="171" t="s">
        <v>52</v>
      </c>
      <c r="AJ16" s="171" t="s">
        <v>52</v>
      </c>
      <c r="AK16" s="171" t="s">
        <v>52</v>
      </c>
      <c r="AL16" s="171" t="s">
        <v>52</v>
      </c>
      <c r="AM16" s="190" t="s">
        <v>52</v>
      </c>
      <c r="AN16" s="171" t="s">
        <v>52</v>
      </c>
      <c r="AO16" s="171" t="s">
        <v>52</v>
      </c>
      <c r="AP16" s="171" t="s">
        <v>52</v>
      </c>
      <c r="AQ16" s="171" t="s">
        <v>52</v>
      </c>
      <c r="AR16" s="171" t="s">
        <v>52</v>
      </c>
      <c r="AS16" s="171" t="s">
        <v>52</v>
      </c>
      <c r="AT16" s="190" t="s">
        <v>52</v>
      </c>
      <c r="AU16" s="189" t="s">
        <v>52</v>
      </c>
      <c r="AV16" s="186" t="s">
        <v>52</v>
      </c>
      <c r="AW16" s="189" t="s">
        <v>52</v>
      </c>
      <c r="AX16" s="185" t="s">
        <v>52</v>
      </c>
      <c r="AY16" s="184" t="s">
        <v>52</v>
      </c>
      <c r="AZ16" s="179" t="s">
        <v>52</v>
      </c>
      <c r="BA16" s="189" t="s">
        <v>52</v>
      </c>
      <c r="BB16" s="178" t="s">
        <v>52</v>
      </c>
      <c r="BC16" s="178" t="s">
        <v>52</v>
      </c>
      <c r="BD16" s="189" t="s">
        <v>52</v>
      </c>
      <c r="BE16" s="172" t="s">
        <v>52</v>
      </c>
      <c r="BF16" s="172" t="s">
        <v>52</v>
      </c>
      <c r="BG16" s="172" t="s">
        <v>52</v>
      </c>
      <c r="BH16" s="172" t="s">
        <v>52</v>
      </c>
      <c r="BI16" s="172" t="s">
        <v>52</v>
      </c>
      <c r="BJ16" s="189" t="s">
        <v>52</v>
      </c>
      <c r="BK16" s="189" t="s">
        <v>52</v>
      </c>
      <c r="BL16" s="189" t="s">
        <v>52</v>
      </c>
      <c r="BM16" s="336" t="s">
        <v>2054</v>
      </c>
      <c r="BN16" s="336"/>
      <c r="BO16" s="336"/>
      <c r="BP16" s="53" t="str">
        <f t="shared" si="1"/>
        <v xml:space="preserve">OS, , </v>
      </c>
    </row>
    <row r="17" spans="1:68" s="8" customFormat="1" ht="40.15" customHeight="1">
      <c r="A17" s="183" t="s">
        <v>1041</v>
      </c>
      <c r="B17" s="182" t="s">
        <v>1042</v>
      </c>
      <c r="C17" s="170" t="s">
        <v>52</v>
      </c>
      <c r="D17" s="170" t="s">
        <v>998</v>
      </c>
      <c r="E17" s="179" t="s">
        <v>482</v>
      </c>
      <c r="F17" s="179" t="s">
        <v>809</v>
      </c>
      <c r="G17" s="193" t="s">
        <v>1043</v>
      </c>
      <c r="H17" s="170" t="s">
        <v>1044</v>
      </c>
      <c r="I17" s="179" t="s">
        <v>2038</v>
      </c>
      <c r="J17" s="180">
        <v>50</v>
      </c>
      <c r="K17" s="170">
        <v>50</v>
      </c>
      <c r="L17" s="170">
        <v>66</v>
      </c>
      <c r="M17" s="170">
        <v>66</v>
      </c>
      <c r="N17" s="328">
        <v>50</v>
      </c>
      <c r="O17" s="170" t="str">
        <f>"50, ("&amp;TEXT(28/50,"0.0%")&amp;")"</f>
        <v>50, (56.0%)</v>
      </c>
      <c r="P17" s="170" t="str">
        <f>"16, ("&amp;TEXT(16/50,"0.0%")&amp;")"</f>
        <v>16, (32.0%)</v>
      </c>
      <c r="Q17" s="170" t="str">
        <f>"34, ("&amp;TEXT(34/50,"0.0%")&amp;")"</f>
        <v>34, (68.0%)</v>
      </c>
      <c r="R17" s="170" t="s">
        <v>1045</v>
      </c>
      <c r="S17" s="170" t="s">
        <v>1046</v>
      </c>
      <c r="T17" s="170" t="s">
        <v>52</v>
      </c>
      <c r="U17" s="189" t="s">
        <v>1047</v>
      </c>
      <c r="V17" s="170" t="s">
        <v>52</v>
      </c>
      <c r="W17" s="170" t="s">
        <v>52</v>
      </c>
      <c r="X17" s="173" t="str">
        <f t="shared" si="0"/>
        <v>De novo, n (%) / Secondary, n (%): Secondary, 50 (100%)
Bone marrow blasts median % (range): 13% (1% - 90%)
Baseline HgB, median g/dL (range): NR
ECOG PS 0/1, N (%): 46 (92.0%)
Cytogenic risk (good/intermediate): NR
Cytogenic risk (poor): NR</v>
      </c>
      <c r="Y17" s="170">
        <f>4*28</f>
        <v>112</v>
      </c>
      <c r="Z17" s="170">
        <v>48</v>
      </c>
      <c r="AA17" s="189">
        <v>21</v>
      </c>
      <c r="AB17" s="170" t="s">
        <v>1049</v>
      </c>
      <c r="AC17" s="170" t="s">
        <v>52</v>
      </c>
      <c r="AD17" s="170" t="s">
        <v>52</v>
      </c>
      <c r="AE17" s="170" t="s">
        <v>52</v>
      </c>
      <c r="AF17" s="176" t="str">
        <f>"Overall survival for all patients is "&amp;AA17&amp;" months, Cl="&amp;AB17&amp;", p="&amp;AE17</f>
        <v>Overall survival for all patients is 21 months, Cl=1-53.6, p=NR</v>
      </c>
      <c r="AG17" s="171">
        <v>16</v>
      </c>
      <c r="AH17" s="171">
        <v>8.5</v>
      </c>
      <c r="AI17" s="170" t="s">
        <v>52</v>
      </c>
      <c r="AJ17" s="170" t="s">
        <v>52</v>
      </c>
      <c r="AK17" s="170" t="s">
        <v>52</v>
      </c>
      <c r="AL17" s="177" t="s">
        <v>52</v>
      </c>
      <c r="AM17" s="176" t="str">
        <f>"Overall survival for AML patients is "&amp;AH17&amp;" months, Cl="&amp;AI17&amp;", p="&amp;AL17</f>
        <v>Overall survival for AML patients is 8.5 months, Cl=NR, p=NR</v>
      </c>
      <c r="AN17" s="170">
        <v>34</v>
      </c>
      <c r="AO17" s="170">
        <v>21.78</v>
      </c>
      <c r="AP17" s="170" t="s">
        <v>52</v>
      </c>
      <c r="AQ17" s="170" t="s">
        <v>52</v>
      </c>
      <c r="AR17" s="170" t="s">
        <v>52</v>
      </c>
      <c r="AS17" s="177" t="s">
        <v>52</v>
      </c>
      <c r="AT17" s="176" t="str">
        <f>"Overall survival for MDS patients is "&amp;TEXT(AO17,"0.0")&amp;" months, Cl="&amp;AP17&amp;", p="&amp;AS17</f>
        <v>Overall survival for MDS patients is 21.8 months, Cl=NR, p=NR</v>
      </c>
      <c r="AU17" s="170">
        <v>48</v>
      </c>
      <c r="AV17" s="72">
        <f>20.8%+4.2%</f>
        <v>0.25</v>
      </c>
      <c r="AW17" s="171" t="s">
        <v>52</v>
      </c>
      <c r="AX17" s="17" t="s">
        <v>52</v>
      </c>
      <c r="AY17" s="17" t="s">
        <v>52</v>
      </c>
      <c r="AZ17" s="171" t="s">
        <v>52</v>
      </c>
      <c r="BA17" s="171" t="s">
        <v>52</v>
      </c>
      <c r="BB17" s="197" t="s">
        <v>52</v>
      </c>
      <c r="BC17" s="197" t="s">
        <v>52</v>
      </c>
      <c r="BD17" s="171" t="s">
        <v>52</v>
      </c>
      <c r="BE17" s="171" t="s">
        <v>52</v>
      </c>
      <c r="BF17" s="171" t="s">
        <v>52</v>
      </c>
      <c r="BG17" s="171" t="s">
        <v>52</v>
      </c>
      <c r="BH17" s="171" t="s">
        <v>52</v>
      </c>
      <c r="BI17" s="171" t="s">
        <v>52</v>
      </c>
      <c r="BJ17" s="171" t="s">
        <v>52</v>
      </c>
      <c r="BK17" s="171" t="s">
        <v>52</v>
      </c>
      <c r="BL17" s="171" t="s">
        <v>52</v>
      </c>
      <c r="BM17" s="335" t="s">
        <v>2054</v>
      </c>
      <c r="BN17" s="337"/>
      <c r="BO17" s="337"/>
      <c r="BP17" s="53" t="str">
        <f t="shared" si="1"/>
        <v xml:space="preserve">OS, , </v>
      </c>
    </row>
    <row r="18" spans="1:68" s="8" customFormat="1" ht="40.15" customHeight="1">
      <c r="A18" s="183" t="s">
        <v>1058</v>
      </c>
      <c r="B18" s="182" t="s">
        <v>1059</v>
      </c>
      <c r="C18" s="170" t="s">
        <v>52</v>
      </c>
      <c r="D18" s="170" t="s">
        <v>485</v>
      </c>
      <c r="E18" s="179" t="s">
        <v>482</v>
      </c>
      <c r="F18" s="179" t="s">
        <v>809</v>
      </c>
      <c r="G18" s="193" t="s">
        <v>1060</v>
      </c>
      <c r="H18" s="170" t="s">
        <v>1061</v>
      </c>
      <c r="I18" s="179" t="s">
        <v>2039</v>
      </c>
      <c r="J18" s="206">
        <f>K18</f>
        <v>133</v>
      </c>
      <c r="K18" s="170">
        <v>133</v>
      </c>
      <c r="L18" s="170">
        <v>76</v>
      </c>
      <c r="M18" s="170" t="s">
        <v>52</v>
      </c>
      <c r="N18" s="328" t="s">
        <v>52</v>
      </c>
      <c r="O18" s="170" t="s">
        <v>52</v>
      </c>
      <c r="P18" s="170" t="s">
        <v>52</v>
      </c>
      <c r="Q18" s="170" t="s">
        <v>52</v>
      </c>
      <c r="R18" s="170" t="s">
        <v>52</v>
      </c>
      <c r="S18" s="170" t="s">
        <v>1063</v>
      </c>
      <c r="T18" s="170" t="s">
        <v>52</v>
      </c>
      <c r="U18" s="170" t="s">
        <v>52</v>
      </c>
      <c r="V18" s="170" t="s">
        <v>52</v>
      </c>
      <c r="W18" s="170" t="s">
        <v>52</v>
      </c>
      <c r="X18" s="173" t="str">
        <f t="shared" si="0"/>
        <v>De novo, n (%) / Secondary, n (%): NR
Bone marrow blasts median % (range): 25.0% (10% - 90%)
Baseline HgB, median g/dL (range): NR
ECOG PS 0/1, N (%): NR
Cytogenic risk (good/intermediate): NR
Cytogenic risk (poor): NR</v>
      </c>
      <c r="Y18" s="170" t="s">
        <v>52</v>
      </c>
      <c r="Z18" s="170">
        <v>133</v>
      </c>
      <c r="AA18" s="170">
        <v>12.2</v>
      </c>
      <c r="AB18" s="177" t="s">
        <v>52</v>
      </c>
      <c r="AC18" s="177" t="s">
        <v>52</v>
      </c>
      <c r="AD18" s="177" t="s">
        <v>52</v>
      </c>
      <c r="AE18" s="177" t="s">
        <v>52</v>
      </c>
      <c r="AF18" s="210" t="s">
        <v>1064</v>
      </c>
      <c r="AG18" s="170">
        <v>133</v>
      </c>
      <c r="AH18" s="170">
        <v>12.2</v>
      </c>
      <c r="AI18" s="177" t="s">
        <v>52</v>
      </c>
      <c r="AJ18" s="177" t="s">
        <v>52</v>
      </c>
      <c r="AK18" s="177" t="s">
        <v>52</v>
      </c>
      <c r="AL18" s="177" t="s">
        <v>52</v>
      </c>
      <c r="AM18" s="210" t="s">
        <v>1064</v>
      </c>
      <c r="AN18" s="170" t="s">
        <v>52</v>
      </c>
      <c r="AO18" s="170" t="s">
        <v>52</v>
      </c>
      <c r="AP18" s="170" t="s">
        <v>52</v>
      </c>
      <c r="AQ18" s="170" t="s">
        <v>52</v>
      </c>
      <c r="AR18" s="170" t="s">
        <v>52</v>
      </c>
      <c r="AS18" s="170" t="s">
        <v>52</v>
      </c>
      <c r="AT18" s="175" t="s">
        <v>52</v>
      </c>
      <c r="AU18" s="170">
        <v>113</v>
      </c>
      <c r="AV18" s="72">
        <v>0.106</v>
      </c>
      <c r="AW18" s="171" t="s">
        <v>52</v>
      </c>
      <c r="AX18" s="17" t="s">
        <v>52</v>
      </c>
      <c r="AY18" s="17" t="s">
        <v>52</v>
      </c>
      <c r="AZ18" s="171" t="s">
        <v>52</v>
      </c>
      <c r="BA18" s="171" t="s">
        <v>52</v>
      </c>
      <c r="BB18" s="197" t="s">
        <v>52</v>
      </c>
      <c r="BC18" s="197" t="s">
        <v>52</v>
      </c>
      <c r="BD18" s="171" t="s">
        <v>52</v>
      </c>
      <c r="BE18" s="209" t="s">
        <v>52</v>
      </c>
      <c r="BF18" s="170" t="s">
        <v>52</v>
      </c>
      <c r="BG18" s="170" t="s">
        <v>52</v>
      </c>
      <c r="BH18" s="170" t="s">
        <v>52</v>
      </c>
      <c r="BI18" s="170" t="s">
        <v>52</v>
      </c>
      <c r="BJ18" s="170" t="s">
        <v>52</v>
      </c>
      <c r="BK18" s="170" t="s">
        <v>52</v>
      </c>
      <c r="BL18" s="170" t="s">
        <v>52</v>
      </c>
      <c r="BM18" s="335" t="s">
        <v>2054</v>
      </c>
      <c r="BN18" s="335"/>
      <c r="BO18" s="335"/>
      <c r="BP18" s="53" t="str">
        <f t="shared" si="1"/>
        <v xml:space="preserve">OS, , </v>
      </c>
    </row>
    <row r="19" spans="1:68" s="8" customFormat="1" ht="40.15" customHeight="1">
      <c r="A19" s="183" t="s">
        <v>1068</v>
      </c>
      <c r="B19" s="182" t="s">
        <v>1069</v>
      </c>
      <c r="C19" s="170" t="s">
        <v>52</v>
      </c>
      <c r="D19" s="170" t="s">
        <v>998</v>
      </c>
      <c r="E19" s="179" t="s">
        <v>482</v>
      </c>
      <c r="F19" s="179" t="s">
        <v>809</v>
      </c>
      <c r="G19" s="193" t="s">
        <v>1060</v>
      </c>
      <c r="H19" s="170" t="s">
        <v>1070</v>
      </c>
      <c r="I19" s="179" t="s">
        <v>2040</v>
      </c>
      <c r="J19" s="206">
        <f>K19</f>
        <v>55</v>
      </c>
      <c r="K19" s="170">
        <v>55</v>
      </c>
      <c r="L19" s="170">
        <v>73</v>
      </c>
      <c r="M19" s="170">
        <v>73</v>
      </c>
      <c r="N19" s="328">
        <v>41</v>
      </c>
      <c r="O19" s="173" t="str">
        <f>TEXT(55-14,0)&amp;", ("&amp;TEXT((55-14)/55,"0.0%")&amp;")"</f>
        <v>41, (74.5%)</v>
      </c>
      <c r="P19" s="170" t="s">
        <v>1071</v>
      </c>
      <c r="Q19" s="170" t="s">
        <v>608</v>
      </c>
      <c r="R19" s="170" t="s">
        <v>1072</v>
      </c>
      <c r="S19" s="170" t="s">
        <v>1073</v>
      </c>
      <c r="T19" s="170" t="s">
        <v>52</v>
      </c>
      <c r="U19" s="170" t="s">
        <v>52</v>
      </c>
      <c r="V19" s="170" t="s">
        <v>52</v>
      </c>
      <c r="W19" s="170" t="s">
        <v>52</v>
      </c>
      <c r="X19" s="173" t="str">
        <f t="shared" si="0"/>
        <v>De novo, n (%) / Secondary, n (%): De novo, 34 (62%)
Therapy related, 10 (18%)
Bone marrow blasts median % (range): 25% (14% - 85%)
Baseline HgB, median g/dL (range): NR
ECOG PS 0/1, N (%): NR
Cytogenic risk (good/intermediate): NR
Cytogenic risk (poor): NR</v>
      </c>
      <c r="Y19" s="170" t="s">
        <v>52</v>
      </c>
      <c r="Z19" s="170">
        <v>55</v>
      </c>
      <c r="AA19" s="170">
        <v>12.3</v>
      </c>
      <c r="AB19" s="177" t="s">
        <v>1076</v>
      </c>
      <c r="AC19" s="177" t="s">
        <v>52</v>
      </c>
      <c r="AD19" s="177" t="s">
        <v>52</v>
      </c>
      <c r="AE19" s="170" t="s">
        <v>52</v>
      </c>
      <c r="AF19" s="176" t="str">
        <f t="shared" ref="AF19:AF30" si="2">"Overall survival for all patients is "&amp;AA19&amp;" months, Cl="&amp;AB19&amp;", p="&amp;AE19</f>
        <v>Overall survival for all patients is 12.3 months, Cl=7.8 - 18.0, p=NR</v>
      </c>
      <c r="AG19" s="170">
        <v>55</v>
      </c>
      <c r="AH19" s="170">
        <v>12.3</v>
      </c>
      <c r="AI19" s="177" t="s">
        <v>1076</v>
      </c>
      <c r="AJ19" s="177" t="s">
        <v>52</v>
      </c>
      <c r="AK19" s="177" t="s">
        <v>52</v>
      </c>
      <c r="AL19" s="177" t="s">
        <v>52</v>
      </c>
      <c r="AM19" s="176" t="str">
        <f>"Overall survival for AML patients is "&amp;AH19&amp;" months, Cl="&amp;AI19&amp;", p="&amp;AL19</f>
        <v>Overall survival for AML patients is 12.3 months, Cl=7.8 - 18.0, p=NR</v>
      </c>
      <c r="AN19" s="170" t="s">
        <v>52</v>
      </c>
      <c r="AO19" s="170" t="s">
        <v>52</v>
      </c>
      <c r="AP19" s="170" t="s">
        <v>52</v>
      </c>
      <c r="AQ19" s="170" t="s">
        <v>52</v>
      </c>
      <c r="AR19" s="170" t="s">
        <v>52</v>
      </c>
      <c r="AS19" s="170" t="s">
        <v>52</v>
      </c>
      <c r="AT19" s="175" t="s">
        <v>52</v>
      </c>
      <c r="AU19" s="170">
        <v>55</v>
      </c>
      <c r="AV19" s="72">
        <f>23.6%+7.3%</f>
        <v>0.309</v>
      </c>
      <c r="AW19" s="170">
        <v>55</v>
      </c>
      <c r="AX19" s="64">
        <f>23.6%+7.3%</f>
        <v>0.309</v>
      </c>
      <c r="AY19" s="17">
        <v>0.23636363636363636</v>
      </c>
      <c r="AZ19" s="171" t="s">
        <v>1083</v>
      </c>
      <c r="BA19" s="171" t="s">
        <v>52</v>
      </c>
      <c r="BB19" s="197" t="s">
        <v>52</v>
      </c>
      <c r="BC19" s="197" t="s">
        <v>52</v>
      </c>
      <c r="BD19" s="171" t="s">
        <v>52</v>
      </c>
      <c r="BE19" s="170" t="s">
        <v>52</v>
      </c>
      <c r="BF19" s="170" t="s">
        <v>52</v>
      </c>
      <c r="BG19" s="170" t="s">
        <v>52</v>
      </c>
      <c r="BH19" s="170" t="s">
        <v>52</v>
      </c>
      <c r="BI19" s="170" t="s">
        <v>52</v>
      </c>
      <c r="BJ19" s="208">
        <f>22/55</f>
        <v>0.4</v>
      </c>
      <c r="BK19" s="170" t="s">
        <v>52</v>
      </c>
      <c r="BL19" s="170" t="s">
        <v>52</v>
      </c>
      <c r="BM19" s="335" t="s">
        <v>2054</v>
      </c>
      <c r="BN19" s="335" t="s">
        <v>2055</v>
      </c>
      <c r="BO19" s="335" t="s">
        <v>2056</v>
      </c>
      <c r="BP19" s="53" t="str">
        <f t="shared" si="1"/>
        <v>OS, Response, Treatment Pattern</v>
      </c>
    </row>
    <row r="20" spans="1:68" s="8" customFormat="1" ht="40.15" customHeight="1">
      <c r="A20" s="183" t="s">
        <v>1084</v>
      </c>
      <c r="B20" s="182" t="s">
        <v>1085</v>
      </c>
      <c r="C20" s="170" t="s">
        <v>52</v>
      </c>
      <c r="D20" s="170" t="s">
        <v>998</v>
      </c>
      <c r="E20" s="179" t="s">
        <v>482</v>
      </c>
      <c r="F20" s="179" t="s">
        <v>809</v>
      </c>
      <c r="G20" s="193" t="s">
        <v>1086</v>
      </c>
      <c r="H20" s="170" t="s">
        <v>1087</v>
      </c>
      <c r="I20" s="179" t="s">
        <v>2041</v>
      </c>
      <c r="J20" s="180">
        <v>302</v>
      </c>
      <c r="K20" s="170">
        <v>302</v>
      </c>
      <c r="L20" s="170">
        <v>73</v>
      </c>
      <c r="M20" s="170" t="s">
        <v>52</v>
      </c>
      <c r="N20" s="328">
        <v>175</v>
      </c>
      <c r="O20" s="170" t="s">
        <v>1088</v>
      </c>
      <c r="P20" s="179" t="s">
        <v>1089</v>
      </c>
      <c r="Q20" s="170" t="s">
        <v>973</v>
      </c>
      <c r="R20" s="170" t="s">
        <v>52</v>
      </c>
      <c r="S20" s="170" t="s">
        <v>1090</v>
      </c>
      <c r="T20" s="170" t="s">
        <v>52</v>
      </c>
      <c r="U20" s="170" t="s">
        <v>52</v>
      </c>
      <c r="V20" s="173">
        <f>53.3%+18.2%</f>
        <v>0.71499999999999986</v>
      </c>
      <c r="W20" s="173">
        <v>0.17499999999999999</v>
      </c>
      <c r="X20" s="173" t="str">
        <f t="shared" si="0"/>
        <v>De novo, n (%) / Secondary, n (%): NR
Bone marrow blasts median % (range): 32% (0% - 98%)
Baseline HgB, median g/dL (range): NR
ECOG PS 0/1, N (%): NR
Cytogenic risk (good/intermediate): 0.715
Cytogenic risk (poor): 0.175</v>
      </c>
      <c r="Y20" s="170" t="s">
        <v>52</v>
      </c>
      <c r="Z20" s="170">
        <v>302</v>
      </c>
      <c r="AA20" s="170">
        <v>9.6</v>
      </c>
      <c r="AB20" s="170" t="s">
        <v>1091</v>
      </c>
      <c r="AC20" s="170" t="s">
        <v>52</v>
      </c>
      <c r="AD20" s="170" t="s">
        <v>52</v>
      </c>
      <c r="AE20" s="170" t="s">
        <v>52</v>
      </c>
      <c r="AF20" s="176" t="str">
        <f t="shared" si="2"/>
        <v>Overall survival for all patients is 9.6 months, Cl=8.53 - 10.7, p=NR</v>
      </c>
      <c r="AG20" s="170">
        <v>302</v>
      </c>
      <c r="AH20" s="170">
        <v>9.6</v>
      </c>
      <c r="AI20" s="170" t="s">
        <v>1091</v>
      </c>
      <c r="AJ20" s="170" t="s">
        <v>52</v>
      </c>
      <c r="AK20" s="170" t="s">
        <v>52</v>
      </c>
      <c r="AL20" s="170" t="s">
        <v>52</v>
      </c>
      <c r="AM20" s="176" t="str">
        <f>"Overall survival for AML patients is "&amp;AH20&amp;" months, Cl="&amp;AI20&amp;", p="&amp;AL20</f>
        <v>Overall survival for AML patients is 9.6 months, Cl=8.53 - 10.7, p=NR</v>
      </c>
      <c r="AN20" s="170" t="s">
        <v>52</v>
      </c>
      <c r="AO20" s="170" t="s">
        <v>52</v>
      </c>
      <c r="AP20" s="170" t="s">
        <v>52</v>
      </c>
      <c r="AQ20" s="170" t="s">
        <v>52</v>
      </c>
      <c r="AR20" s="170" t="s">
        <v>52</v>
      </c>
      <c r="AS20" s="170" t="s">
        <v>52</v>
      </c>
      <c r="AT20" s="175" t="s">
        <v>52</v>
      </c>
      <c r="AU20" s="170">
        <v>302</v>
      </c>
      <c r="AV20" s="72" t="s">
        <v>1093</v>
      </c>
      <c r="AW20" s="170" t="s">
        <v>52</v>
      </c>
      <c r="AX20" s="17" t="s">
        <v>52</v>
      </c>
      <c r="AY20" s="17" t="s">
        <v>52</v>
      </c>
      <c r="AZ20" s="170" t="s">
        <v>52</v>
      </c>
      <c r="BA20" s="170" t="s">
        <v>52</v>
      </c>
      <c r="BB20" s="173" t="s">
        <v>52</v>
      </c>
      <c r="BC20" s="173" t="s">
        <v>52</v>
      </c>
      <c r="BD20" s="170" t="s">
        <v>52</v>
      </c>
      <c r="BE20" s="170" t="s">
        <v>52</v>
      </c>
      <c r="BF20" s="170" t="s">
        <v>52</v>
      </c>
      <c r="BG20" s="170" t="s">
        <v>52</v>
      </c>
      <c r="BH20" s="170" t="s">
        <v>52</v>
      </c>
      <c r="BI20" s="170" t="s">
        <v>52</v>
      </c>
      <c r="BJ20" s="170" t="s">
        <v>52</v>
      </c>
      <c r="BK20" s="170" t="s">
        <v>52</v>
      </c>
      <c r="BL20" s="170" t="s">
        <v>52</v>
      </c>
      <c r="BM20" s="335" t="s">
        <v>2054</v>
      </c>
      <c r="BN20" s="335"/>
      <c r="BO20" s="335"/>
      <c r="BP20" s="53" t="str">
        <f t="shared" si="1"/>
        <v xml:space="preserve">OS, , </v>
      </c>
    </row>
    <row r="21" spans="1:68" s="8" customFormat="1" ht="40.15" customHeight="1">
      <c r="A21" s="183" t="s">
        <v>1096</v>
      </c>
      <c r="B21" s="182" t="s">
        <v>1097</v>
      </c>
      <c r="C21" s="170" t="s">
        <v>52</v>
      </c>
      <c r="D21" s="170" t="s">
        <v>998</v>
      </c>
      <c r="E21" s="179" t="s">
        <v>482</v>
      </c>
      <c r="F21" s="179" t="s">
        <v>809</v>
      </c>
      <c r="G21" s="193" t="s">
        <v>1086</v>
      </c>
      <c r="H21" s="170" t="s">
        <v>1098</v>
      </c>
      <c r="I21" s="179" t="s">
        <v>2042</v>
      </c>
      <c r="J21" s="180">
        <v>90</v>
      </c>
      <c r="K21" s="170">
        <v>90</v>
      </c>
      <c r="L21" s="170">
        <v>75</v>
      </c>
      <c r="M21" s="170" t="s">
        <v>52</v>
      </c>
      <c r="N21" s="328">
        <v>48</v>
      </c>
      <c r="O21" s="170" t="str">
        <f>"48, ("&amp;TEXT(48/90,"0.0%")&amp;")"</f>
        <v>48, (53.3%)</v>
      </c>
      <c r="P21" s="179" t="s">
        <v>1099</v>
      </c>
      <c r="Q21" s="170" t="s">
        <v>973</v>
      </c>
      <c r="R21" s="170" t="s">
        <v>52</v>
      </c>
      <c r="S21" s="170" t="s">
        <v>1100</v>
      </c>
      <c r="T21" s="170" t="s">
        <v>1101</v>
      </c>
      <c r="U21" s="170" t="s">
        <v>52</v>
      </c>
      <c r="V21" s="170" t="s">
        <v>52</v>
      </c>
      <c r="W21" s="170" t="s">
        <v>52</v>
      </c>
      <c r="X21" s="173" t="str">
        <f t="shared" si="0"/>
        <v>De novo, n (%) / Secondary, n (%): NR
Bone marrow blasts median % (range): 35% (20% - 90%)
Baseline HgB, median g/dL (range): 8.4g/dL (5.4g/dL - 9.3g/dL)
ECOG PS 0/1, N (%): NR
Cytogenic risk (good/intermediate): NR
Cytogenic risk (poor): NR</v>
      </c>
      <c r="Y21" s="170">
        <f>9*28</f>
        <v>252</v>
      </c>
      <c r="Z21" s="170">
        <v>90</v>
      </c>
      <c r="AA21" s="170">
        <v>12</v>
      </c>
      <c r="AB21" s="170" t="s">
        <v>52</v>
      </c>
      <c r="AC21" s="170" t="s">
        <v>52</v>
      </c>
      <c r="AD21" s="170" t="s">
        <v>52</v>
      </c>
      <c r="AE21" s="170" t="s">
        <v>52</v>
      </c>
      <c r="AF21" s="176" t="str">
        <f t="shared" si="2"/>
        <v>Overall survival for all patients is 12 months, Cl=NR, p=NR</v>
      </c>
      <c r="AG21" s="171">
        <v>90</v>
      </c>
      <c r="AH21" s="171">
        <v>12</v>
      </c>
      <c r="AI21" s="170" t="s">
        <v>52</v>
      </c>
      <c r="AJ21" s="170" t="s">
        <v>52</v>
      </c>
      <c r="AK21" s="170" t="s">
        <v>52</v>
      </c>
      <c r="AL21" s="170" t="s">
        <v>52</v>
      </c>
      <c r="AM21" s="176" t="str">
        <f>"Overall survival for AML patients is "&amp;TEXT(AH21,"0")&amp;" months, Cl="&amp;AI21&amp;", p="&amp;AL21</f>
        <v>Overall survival for AML patients is 12 months, Cl=NR, p=NR</v>
      </c>
      <c r="AN21" s="170" t="s">
        <v>52</v>
      </c>
      <c r="AO21" s="170" t="s">
        <v>52</v>
      </c>
      <c r="AP21" s="170" t="s">
        <v>52</v>
      </c>
      <c r="AQ21" s="170" t="s">
        <v>52</v>
      </c>
      <c r="AR21" s="170" t="s">
        <v>52</v>
      </c>
      <c r="AS21" s="170" t="s">
        <v>52</v>
      </c>
      <c r="AT21" s="175" t="s">
        <v>52</v>
      </c>
      <c r="AU21" s="170">
        <v>90</v>
      </c>
      <c r="AV21" s="72">
        <f>18%+3%</f>
        <v>0.21</v>
      </c>
      <c r="AW21" s="170">
        <v>90</v>
      </c>
      <c r="AX21" s="64">
        <f>18%+3%</f>
        <v>0.21</v>
      </c>
      <c r="AY21" s="17">
        <v>0.18</v>
      </c>
      <c r="AZ21" s="174" t="str">
        <f>AW21 &amp;" patients had "&amp;TEXT(AX21,"0%")&amp;" CR and "&amp;TEXT(AY21,"0%")&amp;" CRi"</f>
        <v>90 patients had 21% CR and 18% CRi</v>
      </c>
      <c r="BA21" s="170" t="s">
        <v>52</v>
      </c>
      <c r="BB21" s="173" t="s">
        <v>52</v>
      </c>
      <c r="BC21" s="173" t="s">
        <v>52</v>
      </c>
      <c r="BD21" s="170" t="s">
        <v>52</v>
      </c>
      <c r="BE21" s="170" t="s">
        <v>52</v>
      </c>
      <c r="BF21" s="170" t="s">
        <v>52</v>
      </c>
      <c r="BG21" s="170" t="s">
        <v>52</v>
      </c>
      <c r="BH21" s="170" t="s">
        <v>52</v>
      </c>
      <c r="BI21" s="170" t="s">
        <v>52</v>
      </c>
      <c r="BJ21" s="207">
        <v>0.14000000000000001</v>
      </c>
      <c r="BK21" s="170" t="s">
        <v>52</v>
      </c>
      <c r="BL21" s="170" t="s">
        <v>52</v>
      </c>
      <c r="BM21" s="335" t="s">
        <v>2054</v>
      </c>
      <c r="BN21" s="335" t="s">
        <v>2055</v>
      </c>
      <c r="BO21" s="335" t="s">
        <v>2056</v>
      </c>
      <c r="BP21" s="53" t="str">
        <f t="shared" si="1"/>
        <v>OS, Response, Treatment Pattern</v>
      </c>
    </row>
    <row r="22" spans="1:68" s="8" customFormat="1" ht="40.15" customHeight="1">
      <c r="A22" s="183" t="s">
        <v>1119</v>
      </c>
      <c r="B22" s="182" t="s">
        <v>1120</v>
      </c>
      <c r="C22" s="170" t="s">
        <v>52</v>
      </c>
      <c r="D22" s="170" t="s">
        <v>998</v>
      </c>
      <c r="E22" s="179" t="s">
        <v>482</v>
      </c>
      <c r="F22" s="179" t="s">
        <v>809</v>
      </c>
      <c r="G22" s="193" t="s">
        <v>1086</v>
      </c>
      <c r="H22" s="170" t="s">
        <v>1121</v>
      </c>
      <c r="I22" s="179" t="s">
        <v>2043</v>
      </c>
      <c r="J22" s="206">
        <f>K22</f>
        <v>710</v>
      </c>
      <c r="K22" s="170">
        <v>710</v>
      </c>
      <c r="L22" s="170">
        <v>75</v>
      </c>
      <c r="M22" s="170" t="s">
        <v>52</v>
      </c>
      <c r="N22" s="328">
        <v>448</v>
      </c>
      <c r="O22" s="170" t="s">
        <v>1123</v>
      </c>
      <c r="P22" s="170" t="s">
        <v>1124</v>
      </c>
      <c r="Q22" s="170" t="s">
        <v>608</v>
      </c>
      <c r="R22" s="170" t="s">
        <v>1125</v>
      </c>
      <c r="S22" s="170" t="s">
        <v>1126</v>
      </c>
      <c r="T22" s="170" t="s">
        <v>52</v>
      </c>
      <c r="U22" s="189" t="s">
        <v>1130</v>
      </c>
      <c r="V22" s="170" t="s">
        <v>52</v>
      </c>
      <c r="W22" s="170" t="s">
        <v>52</v>
      </c>
      <c r="X22" s="173" t="str">
        <f t="shared" si="0"/>
        <v>De novo, n (%) / Secondary, n (%): De novo, 312 (44%)
Secondary, 398 (56%)
Bone marrow blasts median % (range): 38% (1%–98%)
Baseline HgB, median g/dL (range): NR
ECOG PS 0/1, N (%): 462 (65.0%)
Cytogenic risk (good/intermediate): NR
Cytogenic risk (poor): NR</v>
      </c>
      <c r="Y22" s="170" t="s">
        <v>52</v>
      </c>
      <c r="Z22" s="170">
        <v>710</v>
      </c>
      <c r="AA22" s="177">
        <v>9</v>
      </c>
      <c r="AB22" s="177" t="s">
        <v>1134</v>
      </c>
      <c r="AC22" s="177" t="s">
        <v>52</v>
      </c>
      <c r="AD22" s="177" t="s">
        <v>52</v>
      </c>
      <c r="AE22" s="170" t="s">
        <v>52</v>
      </c>
      <c r="AF22" s="176" t="str">
        <f t="shared" si="2"/>
        <v>Overall survival for all patients is 9 months, Cl=29.9 - 36.7, p=NR</v>
      </c>
      <c r="AG22" s="170">
        <v>710</v>
      </c>
      <c r="AH22" s="177">
        <v>9</v>
      </c>
      <c r="AI22" s="177" t="s">
        <v>1134</v>
      </c>
      <c r="AJ22" s="177" t="s">
        <v>52</v>
      </c>
      <c r="AK22" s="177" t="s">
        <v>52</v>
      </c>
      <c r="AL22" s="177" t="s">
        <v>52</v>
      </c>
      <c r="AM22" s="176" t="str">
        <f>"Overall survival for AML patients is "&amp;AH22&amp;" months, Cl="&amp;AI22&amp;", p="&amp;AL22</f>
        <v>Overall survival for AML patients is 9 months, Cl=29.9 - 36.7, p=NR</v>
      </c>
      <c r="AN22" s="170" t="s">
        <v>52</v>
      </c>
      <c r="AO22" s="170" t="s">
        <v>52</v>
      </c>
      <c r="AP22" s="170" t="s">
        <v>52</v>
      </c>
      <c r="AQ22" s="170" t="s">
        <v>52</v>
      </c>
      <c r="AR22" s="170" t="s">
        <v>52</v>
      </c>
      <c r="AS22" s="170" t="s">
        <v>52</v>
      </c>
      <c r="AT22" s="175" t="s">
        <v>52</v>
      </c>
      <c r="AU22" s="170">
        <v>710</v>
      </c>
      <c r="AV22" s="72" t="s">
        <v>52</v>
      </c>
      <c r="AW22" s="170">
        <v>710</v>
      </c>
      <c r="AX22" s="17" t="s">
        <v>52</v>
      </c>
      <c r="AY22" s="17" t="s">
        <v>52</v>
      </c>
      <c r="AZ22" s="171" t="s">
        <v>1140</v>
      </c>
      <c r="BA22" s="171" t="s">
        <v>52</v>
      </c>
      <c r="BB22" s="197" t="s">
        <v>52</v>
      </c>
      <c r="BC22" s="197" t="s">
        <v>52</v>
      </c>
      <c r="BD22" s="171" t="s">
        <v>52</v>
      </c>
      <c r="BE22" s="170" t="s">
        <v>52</v>
      </c>
      <c r="BF22" s="170" t="s">
        <v>52</v>
      </c>
      <c r="BG22" s="170" t="s">
        <v>52</v>
      </c>
      <c r="BH22" s="170" t="s">
        <v>52</v>
      </c>
      <c r="BI22" s="170" t="s">
        <v>52</v>
      </c>
      <c r="BJ22" s="170" t="s">
        <v>52</v>
      </c>
      <c r="BK22" s="170" t="s">
        <v>52</v>
      </c>
      <c r="BL22" s="170" t="s">
        <v>52</v>
      </c>
      <c r="BM22" s="335" t="s">
        <v>2054</v>
      </c>
      <c r="BN22" s="335" t="s">
        <v>2055</v>
      </c>
      <c r="BO22" s="335"/>
      <c r="BP22" s="53" t="str">
        <f t="shared" si="1"/>
        <v xml:space="preserve">OS, Response, </v>
      </c>
    </row>
    <row r="23" spans="1:68" s="8" customFormat="1" ht="40.15" customHeight="1">
      <c r="A23" s="183" t="s">
        <v>1147</v>
      </c>
      <c r="B23" s="182" t="s">
        <v>1148</v>
      </c>
      <c r="C23" s="170" t="s">
        <v>52</v>
      </c>
      <c r="D23" s="170" t="s">
        <v>998</v>
      </c>
      <c r="E23" s="179" t="s">
        <v>482</v>
      </c>
      <c r="F23" s="179" t="s">
        <v>809</v>
      </c>
      <c r="G23" s="193" t="s">
        <v>1086</v>
      </c>
      <c r="H23" s="170" t="s">
        <v>1150</v>
      </c>
      <c r="I23" s="179" t="s">
        <v>2044</v>
      </c>
      <c r="J23" s="206">
        <f>K23</f>
        <v>130</v>
      </c>
      <c r="K23" s="170">
        <v>130</v>
      </c>
      <c r="L23" s="170">
        <v>73</v>
      </c>
      <c r="M23" s="170" t="s">
        <v>52</v>
      </c>
      <c r="N23" s="328">
        <v>72</v>
      </c>
      <c r="O23" s="170" t="s">
        <v>1151</v>
      </c>
      <c r="P23" s="170" t="s">
        <v>1152</v>
      </c>
      <c r="Q23" s="170" t="s">
        <v>608</v>
      </c>
      <c r="R23" s="170" t="s">
        <v>1153</v>
      </c>
      <c r="S23" s="170" t="s">
        <v>1154</v>
      </c>
      <c r="T23" s="170" t="s">
        <v>1155</v>
      </c>
      <c r="U23" s="189" t="s">
        <v>1156</v>
      </c>
      <c r="V23" s="170" t="s">
        <v>52</v>
      </c>
      <c r="W23" s="170" t="s">
        <v>52</v>
      </c>
      <c r="X23" s="173" t="str">
        <f t="shared" si="0"/>
        <v>De novo, n (%) / Secondary, n (%): t-AML, 6 (4.6%)
AML-RCA, 9 (6.9%)
AML-MRF, 47 (36.2%)
AML-NOS, 68 (52.3%)
Bone marrow blasts median % (range): 49.5% (20% - 97%)
Baseline HgB, median g/dL (range): 8.7g/dL (4.2g/dL -14g/dL)
ECOG PS 0/1, N (%): 9 (10.5%)
Cytogenic risk (good/intermediate): NR
Cytogenic risk (poor): NR</v>
      </c>
      <c r="Y23" s="170" t="s">
        <v>52</v>
      </c>
      <c r="Z23" s="170">
        <v>130</v>
      </c>
      <c r="AA23" s="170">
        <v>12.3</v>
      </c>
      <c r="AB23" s="177" t="s">
        <v>1157</v>
      </c>
      <c r="AC23" s="177" t="s">
        <v>52</v>
      </c>
      <c r="AD23" s="177" t="s">
        <v>52</v>
      </c>
      <c r="AE23" s="177" t="s">
        <v>52</v>
      </c>
      <c r="AF23" s="176" t="str">
        <f t="shared" si="2"/>
        <v>Overall survival for all patients is 12.3 months, Cl=10.1 - 14.6, p=NR</v>
      </c>
      <c r="AG23" s="170">
        <v>130</v>
      </c>
      <c r="AH23" s="170">
        <v>12.3</v>
      </c>
      <c r="AI23" s="177" t="s">
        <v>1157</v>
      </c>
      <c r="AJ23" s="177" t="s">
        <v>52</v>
      </c>
      <c r="AK23" s="177" t="s">
        <v>52</v>
      </c>
      <c r="AL23" s="177" t="s">
        <v>52</v>
      </c>
      <c r="AM23" s="176" t="str">
        <f>"Overall survival for AML patients is "&amp;AH23&amp;" months, Cl="&amp;AI23&amp;", p="&amp;AL23</f>
        <v>Overall survival for AML patients is 12.3 months, Cl=10.1 - 14.6, p=NR</v>
      </c>
      <c r="AN23" s="170" t="s">
        <v>52</v>
      </c>
      <c r="AO23" s="170" t="s">
        <v>52</v>
      </c>
      <c r="AP23" s="170" t="s">
        <v>52</v>
      </c>
      <c r="AQ23" s="170" t="s">
        <v>52</v>
      </c>
      <c r="AR23" s="170" t="s">
        <v>52</v>
      </c>
      <c r="AS23" s="170" t="s">
        <v>52</v>
      </c>
      <c r="AT23" s="175" t="s">
        <v>52</v>
      </c>
      <c r="AU23" s="170">
        <v>130</v>
      </c>
      <c r="AV23" s="72">
        <f>13.1%+6.2%</f>
        <v>0.193</v>
      </c>
      <c r="AW23" s="170">
        <v>130</v>
      </c>
      <c r="AX23" s="64">
        <f>13.1%+6.2%</f>
        <v>0.193</v>
      </c>
      <c r="AY23" s="17">
        <v>0.13100000000000001</v>
      </c>
      <c r="AZ23" s="171" t="s">
        <v>1165</v>
      </c>
      <c r="BA23" s="171" t="s">
        <v>52</v>
      </c>
      <c r="BB23" s="197" t="s">
        <v>52</v>
      </c>
      <c r="BC23" s="197" t="s">
        <v>52</v>
      </c>
      <c r="BD23" s="171" t="s">
        <v>52</v>
      </c>
      <c r="BE23" s="170" t="s">
        <v>52</v>
      </c>
      <c r="BF23" s="170" t="s">
        <v>52</v>
      </c>
      <c r="BG23" s="170" t="s">
        <v>52</v>
      </c>
      <c r="BH23" s="170" t="s">
        <v>52</v>
      </c>
      <c r="BI23" s="170" t="s">
        <v>52</v>
      </c>
      <c r="BJ23" s="173">
        <v>0.66700000000000004</v>
      </c>
      <c r="BK23" s="170" t="s">
        <v>52</v>
      </c>
      <c r="BL23" s="170" t="s">
        <v>52</v>
      </c>
      <c r="BM23" s="335" t="s">
        <v>2054</v>
      </c>
      <c r="BN23" s="335" t="s">
        <v>2055</v>
      </c>
      <c r="BO23" s="335" t="s">
        <v>2056</v>
      </c>
      <c r="BP23" s="53" t="str">
        <f t="shared" si="1"/>
        <v>OS, Response, Treatment Pattern</v>
      </c>
    </row>
    <row r="24" spans="1:68" s="8" customFormat="1" ht="40.15" customHeight="1">
      <c r="A24" s="205" t="s">
        <v>1167</v>
      </c>
      <c r="B24" s="204" t="s">
        <v>1172</v>
      </c>
      <c r="C24" s="199" t="s">
        <v>52</v>
      </c>
      <c r="D24" s="199" t="s">
        <v>1015</v>
      </c>
      <c r="E24" s="179" t="s">
        <v>482</v>
      </c>
      <c r="F24" s="179" t="s">
        <v>809</v>
      </c>
      <c r="G24" s="203" t="s">
        <v>1175</v>
      </c>
      <c r="H24" s="199" t="s">
        <v>1176</v>
      </c>
      <c r="I24" s="179" t="s">
        <v>2045</v>
      </c>
      <c r="J24" s="180">
        <v>13</v>
      </c>
      <c r="K24" s="199">
        <v>27</v>
      </c>
      <c r="L24" s="200">
        <v>73.430000000000007</v>
      </c>
      <c r="M24" s="202">
        <v>71.3</v>
      </c>
      <c r="N24" s="330">
        <v>15</v>
      </c>
      <c r="O24" s="199" t="s">
        <v>1181</v>
      </c>
      <c r="P24" s="201" t="s">
        <v>1182</v>
      </c>
      <c r="Q24" s="201" t="s">
        <v>1183</v>
      </c>
      <c r="R24" s="199" t="s">
        <v>52</v>
      </c>
      <c r="S24" s="189" t="s">
        <v>1184</v>
      </c>
      <c r="T24" s="170" t="s">
        <v>52</v>
      </c>
      <c r="U24" s="170" t="s">
        <v>52</v>
      </c>
      <c r="V24" s="170" t="s">
        <v>52</v>
      </c>
      <c r="W24" s="170" t="s">
        <v>52</v>
      </c>
      <c r="X24" s="173" t="str">
        <f t="shared" si="0"/>
        <v>De novo, n (%) / Secondary, n (%): NR
Bone marrow blasts median % (range): 31.430% (9.00%-53.86%)
Baseline HgB, median g/dL (range): NR
ECOG PS 0/1, N (%): NR
Cytogenic risk (good/intermediate): NR
Cytogenic risk (poor): NR</v>
      </c>
      <c r="Y24" s="170" t="s">
        <v>52</v>
      </c>
      <c r="Z24" s="170">
        <v>13</v>
      </c>
      <c r="AA24" s="200">
        <v>12.79</v>
      </c>
      <c r="AB24" s="199" t="s">
        <v>52</v>
      </c>
      <c r="AC24" s="199" t="s">
        <v>52</v>
      </c>
      <c r="AD24" s="199" t="s">
        <v>52</v>
      </c>
      <c r="AE24" s="199" t="s">
        <v>52</v>
      </c>
      <c r="AF24" s="176" t="str">
        <f t="shared" si="2"/>
        <v>Overall survival for all patients is 12.79 months, Cl=NR, p=NR</v>
      </c>
      <c r="AG24" s="171" t="s">
        <v>52</v>
      </c>
      <c r="AH24" s="171" t="s">
        <v>52</v>
      </c>
      <c r="AI24" s="171" t="s">
        <v>52</v>
      </c>
      <c r="AJ24" s="198" t="s">
        <v>52</v>
      </c>
      <c r="AK24" s="198" t="s">
        <v>52</v>
      </c>
      <c r="AL24" s="198" t="s">
        <v>52</v>
      </c>
      <c r="AM24" s="190" t="s">
        <v>52</v>
      </c>
      <c r="AN24" s="171" t="s">
        <v>52</v>
      </c>
      <c r="AO24" s="171" t="s">
        <v>52</v>
      </c>
      <c r="AP24" s="171" t="s">
        <v>52</v>
      </c>
      <c r="AQ24" s="198" t="s">
        <v>52</v>
      </c>
      <c r="AR24" s="198" t="s">
        <v>52</v>
      </c>
      <c r="AS24" s="198" t="s">
        <v>52</v>
      </c>
      <c r="AT24" s="190" t="s">
        <v>52</v>
      </c>
      <c r="AU24" s="170">
        <v>13</v>
      </c>
      <c r="AV24" s="72">
        <f>35.7%+4.21%</f>
        <v>0.39910000000000001</v>
      </c>
      <c r="AW24" s="171" t="s">
        <v>52</v>
      </c>
      <c r="AX24" s="17" t="s">
        <v>52</v>
      </c>
      <c r="AY24" s="17" t="s">
        <v>52</v>
      </c>
      <c r="AZ24" s="198" t="s">
        <v>52</v>
      </c>
      <c r="BA24" s="171" t="s">
        <v>52</v>
      </c>
      <c r="BB24" s="197" t="s">
        <v>52</v>
      </c>
      <c r="BC24" s="197" t="s">
        <v>52</v>
      </c>
      <c r="BD24" s="198" t="s">
        <v>52</v>
      </c>
      <c r="BE24" s="171" t="s">
        <v>52</v>
      </c>
      <c r="BF24" s="171" t="s">
        <v>52</v>
      </c>
      <c r="BG24" s="171" t="s">
        <v>52</v>
      </c>
      <c r="BH24" s="171" t="s">
        <v>52</v>
      </c>
      <c r="BI24" s="198" t="s">
        <v>52</v>
      </c>
      <c r="BJ24" s="171" t="s">
        <v>52</v>
      </c>
      <c r="BK24" s="171" t="s">
        <v>52</v>
      </c>
      <c r="BL24" s="171" t="s">
        <v>52</v>
      </c>
      <c r="BM24" s="335" t="s">
        <v>2054</v>
      </c>
      <c r="BN24" s="337"/>
      <c r="BO24" s="337"/>
      <c r="BP24" s="53" t="str">
        <f t="shared" si="1"/>
        <v xml:space="preserve">OS, , </v>
      </c>
    </row>
    <row r="25" spans="1:68" s="8" customFormat="1" ht="40.15" customHeight="1">
      <c r="A25" s="183" t="s">
        <v>1187</v>
      </c>
      <c r="B25" s="182" t="s">
        <v>1188</v>
      </c>
      <c r="C25" s="170" t="s">
        <v>52</v>
      </c>
      <c r="D25" s="189" t="s">
        <v>1030</v>
      </c>
      <c r="E25" s="179" t="s">
        <v>482</v>
      </c>
      <c r="F25" s="179" t="s">
        <v>809</v>
      </c>
      <c r="G25" s="193" t="s">
        <v>1086</v>
      </c>
      <c r="H25" s="170" t="s">
        <v>1189</v>
      </c>
      <c r="I25" s="179" t="s">
        <v>2046</v>
      </c>
      <c r="J25" s="180">
        <v>95</v>
      </c>
      <c r="K25" s="180">
        <v>95</v>
      </c>
      <c r="L25" s="170">
        <v>76</v>
      </c>
      <c r="M25" s="170">
        <v>76</v>
      </c>
      <c r="N25" s="328">
        <v>56</v>
      </c>
      <c r="O25" s="170" t="s">
        <v>1190</v>
      </c>
      <c r="P25" s="179" t="s">
        <v>1191</v>
      </c>
      <c r="Q25" s="170" t="s">
        <v>973</v>
      </c>
      <c r="R25" s="170" t="s">
        <v>52</v>
      </c>
      <c r="S25" s="170" t="s">
        <v>1192</v>
      </c>
      <c r="T25" s="170" t="s">
        <v>52</v>
      </c>
      <c r="U25" s="189" t="s">
        <v>1193</v>
      </c>
      <c r="V25" s="188">
        <v>0.48399999999999999</v>
      </c>
      <c r="W25" s="188">
        <v>0.45300000000000001</v>
      </c>
      <c r="X25" s="173" t="str">
        <f t="shared" si="0"/>
        <v>De novo, n (%) / Secondary, n (%): NR
Bone marrow blasts median % (range): 34.5% (10%-85%)
Baseline HgB, median g/dL (range): NR
ECOG PS 0/1, N (%): 63 (66.3%)
Cytogenic risk (good/intermediate): 0.484
Cytogenic risk (poor): 0.453</v>
      </c>
      <c r="Y25" s="170">
        <f>6*28</f>
        <v>168</v>
      </c>
      <c r="Z25" s="170">
        <v>95</v>
      </c>
      <c r="AA25" s="170">
        <v>11.3</v>
      </c>
      <c r="AB25" s="170" t="s">
        <v>52</v>
      </c>
      <c r="AC25" s="170" t="s">
        <v>52</v>
      </c>
      <c r="AD25" s="170" t="s">
        <v>52</v>
      </c>
      <c r="AE25" s="170" t="s">
        <v>52</v>
      </c>
      <c r="AF25" s="176" t="str">
        <f t="shared" si="2"/>
        <v>Overall survival for all patients is 11.3 months, Cl=NR, p=NR</v>
      </c>
      <c r="AG25" s="170">
        <v>95</v>
      </c>
      <c r="AH25" s="170">
        <v>11.3</v>
      </c>
      <c r="AI25" s="170" t="s">
        <v>52</v>
      </c>
      <c r="AJ25" s="170" t="s">
        <v>52</v>
      </c>
      <c r="AK25" s="170" t="s">
        <v>52</v>
      </c>
      <c r="AL25" s="170" t="s">
        <v>52</v>
      </c>
      <c r="AM25" s="176" t="str">
        <f>"Overall survival for AML patients is "&amp;AH25&amp;" months, Cl="&amp;AI25&amp;", p="&amp;AL25</f>
        <v>Overall survival for AML patients is 11.3 months, Cl=NR, p=NR</v>
      </c>
      <c r="AN25" s="170" t="s">
        <v>52</v>
      </c>
      <c r="AO25" s="170" t="s">
        <v>52</v>
      </c>
      <c r="AP25" s="170" t="s">
        <v>52</v>
      </c>
      <c r="AQ25" s="170" t="s">
        <v>52</v>
      </c>
      <c r="AR25" s="170" t="s">
        <v>52</v>
      </c>
      <c r="AS25" s="170" t="s">
        <v>52</v>
      </c>
      <c r="AT25" s="175" t="s">
        <v>52</v>
      </c>
      <c r="AU25" s="170">
        <v>95</v>
      </c>
      <c r="AV25" s="72">
        <f>14.7%+4.2%</f>
        <v>0.189</v>
      </c>
      <c r="AW25" s="170">
        <v>95</v>
      </c>
      <c r="AX25" s="64">
        <f>14.7%+4.2%</f>
        <v>0.189</v>
      </c>
      <c r="AY25" s="17">
        <v>0.14699999999999999</v>
      </c>
      <c r="AZ25" s="174" t="str">
        <f>AW25 &amp;" patients had "&amp;TEXT(AX25,"0.0%")&amp;" CR and "&amp;TEXT(AY25,"0.0%")&amp;" CRi"</f>
        <v>95 patients had 18.9% CR and 14.7% CRi</v>
      </c>
      <c r="BA25" s="171" t="s">
        <v>52</v>
      </c>
      <c r="BB25" s="197" t="s">
        <v>52</v>
      </c>
      <c r="BC25" s="197" t="s">
        <v>52</v>
      </c>
      <c r="BD25" s="171" t="s">
        <v>52</v>
      </c>
      <c r="BE25" s="171" t="s">
        <v>52</v>
      </c>
      <c r="BF25" s="171" t="s">
        <v>52</v>
      </c>
      <c r="BG25" s="171" t="s">
        <v>52</v>
      </c>
      <c r="BH25" s="171" t="s">
        <v>52</v>
      </c>
      <c r="BI25" s="171" t="s">
        <v>52</v>
      </c>
      <c r="BJ25" s="171" t="s">
        <v>52</v>
      </c>
      <c r="BK25" s="171" t="s">
        <v>52</v>
      </c>
      <c r="BL25" s="171" t="s">
        <v>52</v>
      </c>
      <c r="BM25" s="335" t="s">
        <v>2054</v>
      </c>
      <c r="BN25" s="335" t="s">
        <v>2055</v>
      </c>
      <c r="BO25" s="337"/>
      <c r="BP25" s="53" t="str">
        <f t="shared" si="1"/>
        <v xml:space="preserve">OS, Response, </v>
      </c>
    </row>
    <row r="26" spans="1:68" s="8" customFormat="1" ht="40.15" customHeight="1">
      <c r="A26" s="183" t="s">
        <v>1194</v>
      </c>
      <c r="B26" s="182" t="s">
        <v>1195</v>
      </c>
      <c r="C26" s="170" t="s">
        <v>52</v>
      </c>
      <c r="D26" s="189" t="s">
        <v>1030</v>
      </c>
      <c r="E26" s="179" t="s">
        <v>482</v>
      </c>
      <c r="F26" s="179" t="s">
        <v>809</v>
      </c>
      <c r="G26" s="193" t="s">
        <v>1060</v>
      </c>
      <c r="H26" s="170" t="s">
        <v>52</v>
      </c>
      <c r="I26" s="179" t="s">
        <v>2047</v>
      </c>
      <c r="J26" s="180">
        <v>110</v>
      </c>
      <c r="K26" s="180">
        <v>110</v>
      </c>
      <c r="L26" s="170">
        <v>75</v>
      </c>
      <c r="M26" s="170">
        <v>75</v>
      </c>
      <c r="N26" s="328">
        <v>79</v>
      </c>
      <c r="O26" s="170" t="s">
        <v>1196</v>
      </c>
      <c r="P26" s="179" t="s">
        <v>1197</v>
      </c>
      <c r="Q26" s="170" t="s">
        <v>608</v>
      </c>
      <c r="R26" s="170" t="s">
        <v>52</v>
      </c>
      <c r="S26" s="170" t="s">
        <v>1198</v>
      </c>
      <c r="T26" s="170" t="s">
        <v>1199</v>
      </c>
      <c r="U26" s="196" t="s">
        <v>1200</v>
      </c>
      <c r="V26" s="188" t="s">
        <v>1201</v>
      </c>
      <c r="W26" s="188" t="s">
        <v>1202</v>
      </c>
      <c r="X26" s="173" t="str">
        <f t="shared" si="0"/>
        <v>De novo, n (%) / Secondary, n (%): NR
Bone marrow blasts median % (range): 35.0%, (15.0%-98.0%)
Baseline HgB, median g/dL (range): 9.1 g/dL (4.9g/dL -14.2g/dL)
ECOG PS 0/1, N (%): 77 (70.0%)
Cytogenic risk (good/intermediate): 65 (68.42%)
Cytogenic risk (poor): 30 (31.58%)</v>
      </c>
      <c r="Y26" s="170" t="s">
        <v>52</v>
      </c>
      <c r="Z26" s="170">
        <v>110</v>
      </c>
      <c r="AA26" s="170" t="s">
        <v>1203</v>
      </c>
      <c r="AB26" s="170" t="s">
        <v>1204</v>
      </c>
      <c r="AC26" s="170" t="s">
        <v>52</v>
      </c>
      <c r="AD26" s="170" t="s">
        <v>52</v>
      </c>
      <c r="AE26" s="170" t="s">
        <v>52</v>
      </c>
      <c r="AF26" s="176" t="str">
        <f t="shared" si="2"/>
        <v>Overall survival for all patients is 8,1 months, Cl=5.3 - 10.9, p=NR</v>
      </c>
      <c r="AG26" s="170">
        <v>110</v>
      </c>
      <c r="AH26" s="170" t="s">
        <v>1203</v>
      </c>
      <c r="AI26" s="170" t="s">
        <v>1204</v>
      </c>
      <c r="AJ26" s="170" t="s">
        <v>52</v>
      </c>
      <c r="AK26" s="170" t="s">
        <v>52</v>
      </c>
      <c r="AL26" s="170" t="s">
        <v>52</v>
      </c>
      <c r="AM26" s="176" t="str">
        <f>"Overall survival for all patients is "&amp;AH26&amp;" months, Cl="&amp;AI26&amp;", p="&amp;AL26</f>
        <v>Overall survival for all patients is 8,1 months, Cl=5.3 - 10.9, p=NR</v>
      </c>
      <c r="AN26" s="171" t="s">
        <v>52</v>
      </c>
      <c r="AO26" s="171" t="s">
        <v>52</v>
      </c>
      <c r="AP26" s="171" t="s">
        <v>52</v>
      </c>
      <c r="AQ26" s="171" t="s">
        <v>52</v>
      </c>
      <c r="AR26" s="171" t="s">
        <v>52</v>
      </c>
      <c r="AS26" s="171" t="s">
        <v>52</v>
      </c>
      <c r="AT26" s="190" t="s">
        <v>52</v>
      </c>
      <c r="AU26" s="189" t="s">
        <v>52</v>
      </c>
      <c r="AV26" s="186" t="s">
        <v>52</v>
      </c>
      <c r="AW26" s="189" t="s">
        <v>52</v>
      </c>
      <c r="AX26" s="185" t="s">
        <v>52</v>
      </c>
      <c r="AY26" s="184" t="s">
        <v>52</v>
      </c>
      <c r="AZ26" s="179" t="s">
        <v>52</v>
      </c>
      <c r="BA26" s="189" t="s">
        <v>52</v>
      </c>
      <c r="BB26" s="178" t="s">
        <v>52</v>
      </c>
      <c r="BC26" s="178" t="s">
        <v>52</v>
      </c>
      <c r="BD26" s="189" t="s">
        <v>52</v>
      </c>
      <c r="BE26" s="172" t="s">
        <v>52</v>
      </c>
      <c r="BF26" s="172" t="s">
        <v>52</v>
      </c>
      <c r="BG26" s="172" t="s">
        <v>52</v>
      </c>
      <c r="BH26" s="172" t="s">
        <v>52</v>
      </c>
      <c r="BI26" s="172" t="s">
        <v>52</v>
      </c>
      <c r="BJ26" s="189" t="s">
        <v>52</v>
      </c>
      <c r="BK26" s="189" t="s">
        <v>52</v>
      </c>
      <c r="BL26" s="189" t="s">
        <v>52</v>
      </c>
      <c r="BM26" s="336" t="s">
        <v>2054</v>
      </c>
      <c r="BN26" s="336"/>
      <c r="BO26" s="336"/>
      <c r="BP26" s="53" t="str">
        <f t="shared" si="1"/>
        <v xml:space="preserve">OS, , </v>
      </c>
    </row>
    <row r="27" spans="1:68" s="8" customFormat="1" ht="40.15" customHeight="1">
      <c r="A27" s="183" t="s">
        <v>1206</v>
      </c>
      <c r="B27" s="182" t="s">
        <v>1207</v>
      </c>
      <c r="C27" s="170" t="s">
        <v>52</v>
      </c>
      <c r="D27" s="189" t="s">
        <v>998</v>
      </c>
      <c r="E27" s="179" t="s">
        <v>482</v>
      </c>
      <c r="F27" s="179" t="s">
        <v>809</v>
      </c>
      <c r="G27" s="193" t="s">
        <v>1060</v>
      </c>
      <c r="H27" s="170" t="s">
        <v>52</v>
      </c>
      <c r="I27" s="179" t="s">
        <v>2047</v>
      </c>
      <c r="J27" s="180">
        <v>39</v>
      </c>
      <c r="K27" s="180">
        <v>39</v>
      </c>
      <c r="L27" s="170">
        <v>71</v>
      </c>
      <c r="M27" s="170">
        <v>71</v>
      </c>
      <c r="N27" s="328" t="s">
        <v>52</v>
      </c>
      <c r="O27" s="170" t="s">
        <v>52</v>
      </c>
      <c r="P27" s="179" t="s">
        <v>1127</v>
      </c>
      <c r="Q27" s="170" t="s">
        <v>608</v>
      </c>
      <c r="R27" s="170" t="s">
        <v>52</v>
      </c>
      <c r="S27" s="170" t="s">
        <v>1214</v>
      </c>
      <c r="T27" s="170" t="s">
        <v>52</v>
      </c>
      <c r="U27" s="189" t="s">
        <v>1132</v>
      </c>
      <c r="V27" s="170" t="s">
        <v>52</v>
      </c>
      <c r="W27" s="170" t="s">
        <v>52</v>
      </c>
      <c r="X27" s="173" t="str">
        <f t="shared" si="0"/>
        <v>De novo, n (%) / Secondary, n (%): NR
Bone marrow blasts median % (range): 32%, (20%-90%)
Baseline HgB, median g/dL (range): NR
ECOG PS 0/1, N (%): 19 (48.7%)
Cytogenic risk (good/intermediate): NR
Cytogenic risk (poor): NR</v>
      </c>
      <c r="Y27" s="170" t="s">
        <v>52</v>
      </c>
      <c r="Z27" s="170">
        <v>39</v>
      </c>
      <c r="AA27" s="177">
        <v>7</v>
      </c>
      <c r="AB27" s="170" t="s">
        <v>1216</v>
      </c>
      <c r="AC27" s="170" t="s">
        <v>52</v>
      </c>
      <c r="AD27" s="170" t="s">
        <v>52</v>
      </c>
      <c r="AE27" s="170" t="s">
        <v>52</v>
      </c>
      <c r="AF27" s="176" t="str">
        <f t="shared" si="2"/>
        <v>Overall survival for all patients is 7 months, Cl=3.1-8.8, p=NR</v>
      </c>
      <c r="AG27" s="170">
        <v>39</v>
      </c>
      <c r="AH27" s="177">
        <v>7</v>
      </c>
      <c r="AI27" s="170" t="s">
        <v>1216</v>
      </c>
      <c r="AJ27" s="170" t="s">
        <v>52</v>
      </c>
      <c r="AK27" s="170" t="s">
        <v>52</v>
      </c>
      <c r="AL27" s="170" t="s">
        <v>52</v>
      </c>
      <c r="AM27" s="176" t="str">
        <f>"Overall survival for all patients is "&amp;AH27&amp;" months, Cl="&amp;AI27&amp;", p="&amp;AL27</f>
        <v>Overall survival for all patients is 7 months, Cl=3.1-8.8, p=NR</v>
      </c>
      <c r="AN27" s="171" t="s">
        <v>52</v>
      </c>
      <c r="AO27" s="171" t="s">
        <v>52</v>
      </c>
      <c r="AP27" s="171" t="s">
        <v>52</v>
      </c>
      <c r="AQ27" s="171" t="s">
        <v>52</v>
      </c>
      <c r="AR27" s="171" t="s">
        <v>52</v>
      </c>
      <c r="AS27" s="171" t="s">
        <v>52</v>
      </c>
      <c r="AT27" s="190" t="s">
        <v>52</v>
      </c>
      <c r="AU27" s="189" t="s">
        <v>52</v>
      </c>
      <c r="AV27" s="186" t="s">
        <v>52</v>
      </c>
      <c r="AW27" s="170">
        <v>39</v>
      </c>
      <c r="AX27" s="64">
        <f>23.1%+5.1%</f>
        <v>0.28200000000000003</v>
      </c>
      <c r="AY27" s="64">
        <v>0.23100000000000001</v>
      </c>
      <c r="AZ27" s="174" t="str">
        <f>AW27 &amp;" patients had "&amp;TEXT(AX27,"0.0%")&amp;" CR and "&amp;TEXT(AY27,"0.0%")&amp;" CRi"</f>
        <v>39 patients had 28.2% CR and 23.1% CRi</v>
      </c>
      <c r="BA27" s="189" t="s">
        <v>52</v>
      </c>
      <c r="BB27" s="178" t="s">
        <v>52</v>
      </c>
      <c r="BC27" s="178" t="s">
        <v>52</v>
      </c>
      <c r="BD27" s="189" t="s">
        <v>52</v>
      </c>
      <c r="BE27" s="172" t="s">
        <v>52</v>
      </c>
      <c r="BF27" s="172" t="s">
        <v>52</v>
      </c>
      <c r="BG27" s="172" t="s">
        <v>52</v>
      </c>
      <c r="BH27" s="172" t="s">
        <v>52</v>
      </c>
      <c r="BI27" s="172" t="s">
        <v>52</v>
      </c>
      <c r="BJ27" s="189" t="s">
        <v>52</v>
      </c>
      <c r="BK27" s="189" t="s">
        <v>52</v>
      </c>
      <c r="BL27" s="189" t="s">
        <v>52</v>
      </c>
      <c r="BM27" s="336" t="s">
        <v>2054</v>
      </c>
      <c r="BN27" s="336" t="s">
        <v>2055</v>
      </c>
      <c r="BO27" s="336"/>
      <c r="BP27" s="53" t="str">
        <f t="shared" si="1"/>
        <v xml:space="preserve">OS, Response, </v>
      </c>
    </row>
    <row r="28" spans="1:68" s="8" customFormat="1" ht="40.15" customHeight="1">
      <c r="A28" s="183" t="s">
        <v>1225</v>
      </c>
      <c r="B28" s="182" t="s">
        <v>1226</v>
      </c>
      <c r="C28" s="170" t="s">
        <v>52</v>
      </c>
      <c r="D28" s="189" t="s">
        <v>1227</v>
      </c>
      <c r="E28" s="179" t="s">
        <v>482</v>
      </c>
      <c r="F28" s="179" t="s">
        <v>809</v>
      </c>
      <c r="G28" s="193" t="s">
        <v>1060</v>
      </c>
      <c r="H28" s="170" t="s">
        <v>1231</v>
      </c>
      <c r="I28" s="179" t="s">
        <v>2048</v>
      </c>
      <c r="J28" s="180">
        <v>149</v>
      </c>
      <c r="K28" s="180">
        <v>149</v>
      </c>
      <c r="L28" s="170">
        <v>74</v>
      </c>
      <c r="M28" s="170">
        <v>74</v>
      </c>
      <c r="N28" s="328">
        <v>88</v>
      </c>
      <c r="O28" s="192" t="s">
        <v>1232</v>
      </c>
      <c r="P28" s="180" t="s">
        <v>1233</v>
      </c>
      <c r="Q28" s="170" t="s">
        <v>608</v>
      </c>
      <c r="R28" s="192" t="s">
        <v>1234</v>
      </c>
      <c r="S28" s="170" t="s">
        <v>1235</v>
      </c>
      <c r="T28" s="170" t="s">
        <v>52</v>
      </c>
      <c r="U28" s="191" t="s">
        <v>1236</v>
      </c>
      <c r="V28" s="188" t="s">
        <v>1237</v>
      </c>
      <c r="W28" s="195" t="s">
        <v>1238</v>
      </c>
      <c r="X28" s="173" t="str">
        <f t="shared" si="0"/>
        <v>De novo, n (%) / Secondary, n (%): 51 (34.2%) / 68 (45.6%)
Bone marrow blasts median % (range): 33% (20%-100%)
Baseline HgB, median g/dL (range): NR
ECOG PS 0/1, N (%): 106 (71.1%)
Cytogenic risk (good/intermediate): 84 (60.4%)
Cytogenic risk (poor): 55 (39.6%)</v>
      </c>
      <c r="Y28" s="170" t="s">
        <v>52</v>
      </c>
      <c r="Z28" s="170">
        <v>149</v>
      </c>
      <c r="AA28" s="170">
        <v>9.4</v>
      </c>
      <c r="AB28" s="170" t="s">
        <v>1239</v>
      </c>
      <c r="AC28" s="170" t="s">
        <v>52</v>
      </c>
      <c r="AD28" s="170" t="s">
        <v>52</v>
      </c>
      <c r="AE28" s="170" t="s">
        <v>52</v>
      </c>
      <c r="AF28" s="176" t="str">
        <f t="shared" si="2"/>
        <v>Overall survival for all patients is 9.4 months, Cl=6.5-10.9, p=NR</v>
      </c>
      <c r="AG28" s="170">
        <v>149</v>
      </c>
      <c r="AH28" s="170">
        <v>9.4</v>
      </c>
      <c r="AI28" s="170" t="s">
        <v>1239</v>
      </c>
      <c r="AJ28" s="170" t="s">
        <v>52</v>
      </c>
      <c r="AK28" s="170" t="s">
        <v>52</v>
      </c>
      <c r="AL28" s="170" t="s">
        <v>52</v>
      </c>
      <c r="AM28" s="176" t="str">
        <f>"Overall survival for all patients is "&amp;AH28&amp;" months, Cl="&amp;AI28&amp;", p="&amp;AL28</f>
        <v>Overall survival for all patients is 9.4 months, Cl=6.5-10.9, p=NR</v>
      </c>
      <c r="AN28" s="171" t="s">
        <v>52</v>
      </c>
      <c r="AO28" s="171" t="s">
        <v>52</v>
      </c>
      <c r="AP28" s="171" t="s">
        <v>52</v>
      </c>
      <c r="AQ28" s="171" t="s">
        <v>52</v>
      </c>
      <c r="AR28" s="171" t="s">
        <v>52</v>
      </c>
      <c r="AS28" s="171" t="s">
        <v>52</v>
      </c>
      <c r="AT28" s="190" t="s">
        <v>52</v>
      </c>
      <c r="AU28" s="170">
        <v>149</v>
      </c>
      <c r="AV28" s="72">
        <f>30/149</f>
        <v>0.20134228187919462</v>
      </c>
      <c r="AW28" s="170">
        <v>149</v>
      </c>
      <c r="AX28" s="64">
        <f>23/149</f>
        <v>0.15436241610738255</v>
      </c>
      <c r="AY28" s="64">
        <f>(23+7)/149</f>
        <v>0.20134228187919462</v>
      </c>
      <c r="AZ28" s="174" t="str">
        <f>AW28 &amp;" patients had "&amp;TEXT(AX28,"0.0%")&amp;" CR and "&amp;TEXT(AY28,"0.0%")&amp;" CRi"</f>
        <v>149 patients had 15.4% CR and 20.1% CRi</v>
      </c>
      <c r="BA28" s="189" t="s">
        <v>52</v>
      </c>
      <c r="BB28" s="178" t="s">
        <v>52</v>
      </c>
      <c r="BC28" s="178" t="s">
        <v>52</v>
      </c>
      <c r="BD28" s="189" t="s">
        <v>52</v>
      </c>
      <c r="BE28" s="171">
        <v>149</v>
      </c>
      <c r="BF28" s="172" t="s">
        <v>52</v>
      </c>
      <c r="BG28" s="171">
        <v>145</v>
      </c>
      <c r="BH28" s="172" t="s">
        <v>1241</v>
      </c>
      <c r="BI28" s="172" t="s">
        <v>1242</v>
      </c>
      <c r="BJ28" s="189" t="s">
        <v>52</v>
      </c>
      <c r="BK28" s="189" t="s">
        <v>52</v>
      </c>
      <c r="BL28" s="189" t="s">
        <v>52</v>
      </c>
      <c r="BM28" s="336" t="s">
        <v>2054</v>
      </c>
      <c r="BN28" s="336" t="s">
        <v>2055</v>
      </c>
      <c r="BO28" s="336"/>
      <c r="BP28" s="53" t="str">
        <f t="shared" si="1"/>
        <v xml:space="preserve">OS, Response, </v>
      </c>
    </row>
    <row r="29" spans="1:68" s="8" customFormat="1" ht="40.15" customHeight="1">
      <c r="A29" s="183" t="s">
        <v>1243</v>
      </c>
      <c r="B29" s="182" t="s">
        <v>1244</v>
      </c>
      <c r="C29" s="170" t="s">
        <v>52</v>
      </c>
      <c r="D29" s="189" t="s">
        <v>1015</v>
      </c>
      <c r="E29" s="179" t="s">
        <v>482</v>
      </c>
      <c r="F29" s="179" t="s">
        <v>809</v>
      </c>
      <c r="G29" s="193" t="s">
        <v>1060</v>
      </c>
      <c r="H29" s="170" t="s">
        <v>1246</v>
      </c>
      <c r="I29" s="179" t="s">
        <v>2049</v>
      </c>
      <c r="J29" s="180">
        <v>26</v>
      </c>
      <c r="K29" s="180">
        <v>26</v>
      </c>
      <c r="L29" s="170">
        <v>70</v>
      </c>
      <c r="M29" s="170">
        <v>70</v>
      </c>
      <c r="N29" s="328">
        <v>17</v>
      </c>
      <c r="O29" s="170" t="s">
        <v>1247</v>
      </c>
      <c r="P29" s="180" t="s">
        <v>1248</v>
      </c>
      <c r="Q29" s="170" t="s">
        <v>608</v>
      </c>
      <c r="R29" s="170" t="s">
        <v>1249</v>
      </c>
      <c r="S29" s="170" t="s">
        <v>1250</v>
      </c>
      <c r="T29" s="170" t="s">
        <v>52</v>
      </c>
      <c r="U29" s="170" t="s">
        <v>52</v>
      </c>
      <c r="V29" s="188" t="s">
        <v>1251</v>
      </c>
      <c r="W29" s="188" t="s">
        <v>1252</v>
      </c>
      <c r="X29" s="173" t="str">
        <f t="shared" si="0"/>
        <v>De novo, n (%) / Secondary, n (%): 13 (50%) / 13 (50%) 25 (
Bone marrow blasts median % (range): 27% (20%-88%)
Baseline HgB, median g/dL (range): NR
ECOG PS 0/1, N (%): NR
Cytogenic risk (good/intermediate): 18 (69%)
Cytogenic risk (poor): 8 (31%)</v>
      </c>
      <c r="Y29" s="170" t="s">
        <v>52</v>
      </c>
      <c r="Z29" s="180">
        <v>26</v>
      </c>
      <c r="AA29" s="170">
        <v>12.9</v>
      </c>
      <c r="AB29" s="170" t="s">
        <v>52</v>
      </c>
      <c r="AC29" s="170" t="s">
        <v>52</v>
      </c>
      <c r="AD29" s="170" t="s">
        <v>52</v>
      </c>
      <c r="AE29" s="170" t="s">
        <v>52</v>
      </c>
      <c r="AF29" s="176" t="str">
        <f t="shared" si="2"/>
        <v>Overall survival for all patients is 12.9 months, Cl=NR, p=NR</v>
      </c>
      <c r="AG29" s="180">
        <v>26</v>
      </c>
      <c r="AH29" s="170">
        <v>12.9</v>
      </c>
      <c r="AI29" s="170" t="s">
        <v>52</v>
      </c>
      <c r="AJ29" s="170" t="s">
        <v>52</v>
      </c>
      <c r="AK29" s="170" t="s">
        <v>52</v>
      </c>
      <c r="AL29" s="170" t="s">
        <v>52</v>
      </c>
      <c r="AM29" s="176" t="str">
        <f>"Overall survival for all patients is "&amp;AH29&amp;" months, Cl="&amp;AI29&amp;", p="&amp;AL29</f>
        <v>Overall survival for all patients is 12.9 months, Cl=NR, p=NR</v>
      </c>
      <c r="AN29" s="171" t="s">
        <v>52</v>
      </c>
      <c r="AO29" s="171" t="s">
        <v>52</v>
      </c>
      <c r="AP29" s="171" t="s">
        <v>52</v>
      </c>
      <c r="AQ29" s="171" t="s">
        <v>52</v>
      </c>
      <c r="AR29" s="171" t="s">
        <v>52</v>
      </c>
      <c r="AS29" s="171" t="s">
        <v>52</v>
      </c>
      <c r="AT29" s="190" t="s">
        <v>52</v>
      </c>
      <c r="AU29" s="180">
        <v>26</v>
      </c>
      <c r="AV29" s="72" t="s">
        <v>52</v>
      </c>
      <c r="AW29" s="170">
        <v>26</v>
      </c>
      <c r="AX29" s="64" t="s">
        <v>52</v>
      </c>
      <c r="AY29" s="64">
        <f>9/26</f>
        <v>0.34615384615384615</v>
      </c>
      <c r="AZ29" s="174" t="str">
        <f>AW29 &amp;" patients had "&amp;TEXT(AX29,"0.0%")&amp;" CR and "&amp;TEXT(AY29,"0.0%")&amp;" CRi"</f>
        <v>26 patients had NR CR and 34.6% CRi</v>
      </c>
      <c r="BA29" s="189" t="s">
        <v>52</v>
      </c>
      <c r="BB29" s="178" t="s">
        <v>52</v>
      </c>
      <c r="BC29" s="178" t="s">
        <v>52</v>
      </c>
      <c r="BD29" s="189" t="s">
        <v>52</v>
      </c>
      <c r="BE29" s="170">
        <v>26</v>
      </c>
      <c r="BF29" s="194" t="s">
        <v>52</v>
      </c>
      <c r="BG29" s="194">
        <f>4*(365/12)</f>
        <v>121.66666666666667</v>
      </c>
      <c r="BH29" s="171" t="s">
        <v>1253</v>
      </c>
      <c r="BI29" s="172" t="s">
        <v>1254</v>
      </c>
      <c r="BJ29" s="189" t="s">
        <v>52</v>
      </c>
      <c r="BK29" s="189" t="s">
        <v>52</v>
      </c>
      <c r="BL29" s="189" t="s">
        <v>52</v>
      </c>
      <c r="BM29" s="336" t="s">
        <v>2054</v>
      </c>
      <c r="BN29" s="336" t="s">
        <v>2055</v>
      </c>
      <c r="BO29" s="336"/>
      <c r="BP29" s="53" t="str">
        <f t="shared" si="1"/>
        <v xml:space="preserve">OS, Response, </v>
      </c>
    </row>
    <row r="30" spans="1:68" s="8" customFormat="1" ht="40.15" customHeight="1">
      <c r="A30" s="183" t="s">
        <v>1255</v>
      </c>
      <c r="B30" s="182" t="s">
        <v>1256</v>
      </c>
      <c r="C30" s="170" t="s">
        <v>52</v>
      </c>
      <c r="D30" s="189" t="s">
        <v>485</v>
      </c>
      <c r="E30" s="179" t="s">
        <v>482</v>
      </c>
      <c r="F30" s="179" t="s">
        <v>809</v>
      </c>
      <c r="G30" s="193" t="s">
        <v>1060</v>
      </c>
      <c r="H30" s="170" t="s">
        <v>1257</v>
      </c>
      <c r="I30" s="179" t="s">
        <v>2050</v>
      </c>
      <c r="J30" s="180">
        <v>89</v>
      </c>
      <c r="K30" s="180">
        <v>89</v>
      </c>
      <c r="L30" s="170">
        <v>73</v>
      </c>
      <c r="M30" s="170">
        <v>73</v>
      </c>
      <c r="N30" s="328">
        <v>32</v>
      </c>
      <c r="O30" s="192" t="s">
        <v>1258</v>
      </c>
      <c r="P30" s="179" t="s">
        <v>1259</v>
      </c>
      <c r="Q30" s="170" t="s">
        <v>608</v>
      </c>
      <c r="R30" s="192" t="s">
        <v>1260</v>
      </c>
      <c r="S30" s="170" t="s">
        <v>1261</v>
      </c>
      <c r="T30" s="170" t="s">
        <v>52</v>
      </c>
      <c r="U30" s="191" t="s">
        <v>1262</v>
      </c>
      <c r="V30" s="191" t="s">
        <v>1263</v>
      </c>
      <c r="W30" s="191" t="s">
        <v>1264</v>
      </c>
      <c r="X30" s="173" t="str">
        <f t="shared" si="0"/>
        <v>De novo, n (%) / Secondary, n (%): 45 (50.6%) / 44 (49.4%)
Bone marrow blasts median % (range): NR (NR-NR)
Baseline HgB, median g/dL (range): NR
ECOG PS 0/1, N (%): 72 (80.9%)
Cytogenic risk (good/intermediate): 51 (57.3%)
Cytogenic risk (poor): 18 (20.2%)</v>
      </c>
      <c r="Y30" s="170" t="s">
        <v>52</v>
      </c>
      <c r="Z30" s="180">
        <v>74</v>
      </c>
      <c r="AA30" s="170">
        <v>14.3</v>
      </c>
      <c r="AB30" s="170" t="s">
        <v>52</v>
      </c>
      <c r="AC30" s="170" t="s">
        <v>52</v>
      </c>
      <c r="AD30" s="170" t="s">
        <v>52</v>
      </c>
      <c r="AE30" s="170" t="s">
        <v>52</v>
      </c>
      <c r="AF30" s="176" t="str">
        <f t="shared" si="2"/>
        <v>Overall survival for all patients is 14.3 months, Cl=NR, p=NR</v>
      </c>
      <c r="AG30" s="180">
        <v>74</v>
      </c>
      <c r="AH30" s="170">
        <v>14.3</v>
      </c>
      <c r="AI30" s="170" t="s">
        <v>52</v>
      </c>
      <c r="AJ30" s="170" t="s">
        <v>52</v>
      </c>
      <c r="AK30" s="170" t="s">
        <v>52</v>
      </c>
      <c r="AL30" s="170" t="s">
        <v>52</v>
      </c>
      <c r="AM30" s="176" t="str">
        <f>"Overall survival for all patients is "&amp;AH30&amp;" months, Cl="&amp;AI30&amp;", p="&amp;AL30</f>
        <v>Overall survival for all patients is 14.3 months, Cl=NR, p=NR</v>
      </c>
      <c r="AN30" s="171" t="s">
        <v>52</v>
      </c>
      <c r="AO30" s="171" t="s">
        <v>52</v>
      </c>
      <c r="AP30" s="171" t="s">
        <v>52</v>
      </c>
      <c r="AQ30" s="171" t="s">
        <v>52</v>
      </c>
      <c r="AR30" s="171" t="s">
        <v>52</v>
      </c>
      <c r="AS30" s="171" t="s">
        <v>52</v>
      </c>
      <c r="AT30" s="190" t="s">
        <v>52</v>
      </c>
      <c r="AU30" s="180">
        <v>89</v>
      </c>
      <c r="AV30" s="72">
        <f>20/89</f>
        <v>0.2247191011235955</v>
      </c>
      <c r="AW30" s="180">
        <v>89</v>
      </c>
      <c r="AX30" s="64">
        <f>20/89</f>
        <v>0.2247191011235955</v>
      </c>
      <c r="AY30" s="64">
        <f>17/89</f>
        <v>0.19101123595505617</v>
      </c>
      <c r="AZ30" s="174" t="str">
        <f>AW30 &amp;" patients had "&amp;TEXT(AX30,"0.0%")&amp;" CR and "&amp;TEXT(AY30,"0.0%")&amp;" CRi"</f>
        <v>89 patients had 22.5% CR and 19.1% CRi</v>
      </c>
      <c r="BA30" s="189" t="s">
        <v>52</v>
      </c>
      <c r="BB30" s="178" t="s">
        <v>52</v>
      </c>
      <c r="BC30" s="178" t="s">
        <v>52</v>
      </c>
      <c r="BD30" s="189" t="s">
        <v>52</v>
      </c>
      <c r="BE30" s="171" t="s">
        <v>52</v>
      </c>
      <c r="BF30" s="171" t="s">
        <v>52</v>
      </c>
      <c r="BG30" s="171" t="s">
        <v>52</v>
      </c>
      <c r="BH30" s="171" t="s">
        <v>52</v>
      </c>
      <c r="BI30" s="171" t="s">
        <v>52</v>
      </c>
      <c r="BJ30" s="171" t="s">
        <v>52</v>
      </c>
      <c r="BK30" s="171" t="s">
        <v>52</v>
      </c>
      <c r="BL30" s="171" t="s">
        <v>52</v>
      </c>
      <c r="BM30" s="335" t="s">
        <v>2054</v>
      </c>
      <c r="BN30" s="335" t="s">
        <v>2055</v>
      </c>
      <c r="BO30" s="337"/>
      <c r="BP30" s="53" t="str">
        <f t="shared" si="1"/>
        <v xml:space="preserve">OS, Response, </v>
      </c>
    </row>
    <row r="31" spans="1:68" s="8" customFormat="1" ht="40.15" customHeight="1">
      <c r="A31" s="569" t="s">
        <v>1272</v>
      </c>
      <c r="B31" s="571" t="s">
        <v>1275</v>
      </c>
      <c r="C31" s="567" t="s">
        <v>52</v>
      </c>
      <c r="D31" s="573" t="s">
        <v>1015</v>
      </c>
      <c r="E31" s="179" t="s">
        <v>482</v>
      </c>
      <c r="F31" s="179" t="s">
        <v>809</v>
      </c>
      <c r="G31" s="575" t="s">
        <v>1279</v>
      </c>
      <c r="H31" s="567" t="s">
        <v>1962</v>
      </c>
      <c r="I31" s="179" t="s">
        <v>2051</v>
      </c>
      <c r="J31" s="180">
        <v>27</v>
      </c>
      <c r="K31" s="577">
        <f>J31+J32</f>
        <v>65</v>
      </c>
      <c r="L31" s="170" t="s">
        <v>52</v>
      </c>
      <c r="M31" s="567" t="s">
        <v>52</v>
      </c>
      <c r="N31" s="330" t="s">
        <v>52</v>
      </c>
      <c r="O31" s="170" t="s">
        <v>52</v>
      </c>
      <c r="P31" s="180" t="s">
        <v>1286</v>
      </c>
      <c r="Q31" s="179" t="s">
        <v>973</v>
      </c>
      <c r="R31" s="170" t="s">
        <v>52</v>
      </c>
      <c r="S31" s="170" t="s">
        <v>1288</v>
      </c>
      <c r="T31" s="170" t="s">
        <v>52</v>
      </c>
      <c r="U31" s="189" t="s">
        <v>52</v>
      </c>
      <c r="V31" s="188" t="s">
        <v>52</v>
      </c>
      <c r="W31" s="188" t="s">
        <v>52</v>
      </c>
      <c r="X31" s="173" t="str">
        <f t="shared" si="0"/>
        <v>De novo, n (%) / Secondary, n (%): NR
Bone marrow blasts median % (range): 44% (NR-NR)
Baseline HgB, median g/dL (range): NR
ECOG PS 0/1, N (%): NR
Cytogenic risk (good/intermediate): NR
Cytogenic risk (poor): NR</v>
      </c>
      <c r="Y31" s="170" t="s">
        <v>52</v>
      </c>
      <c r="Z31" s="180">
        <v>27</v>
      </c>
      <c r="AA31" s="170" t="s">
        <v>52</v>
      </c>
      <c r="AB31" s="170" t="s">
        <v>52</v>
      </c>
      <c r="AC31" s="170">
        <v>1.27</v>
      </c>
      <c r="AD31" s="170" t="s">
        <v>1295</v>
      </c>
      <c r="AE31" s="170">
        <v>0.46</v>
      </c>
      <c r="AF31" s="579" t="s">
        <v>1296</v>
      </c>
      <c r="AG31" s="180">
        <v>27</v>
      </c>
      <c r="AH31" s="170" t="s">
        <v>52</v>
      </c>
      <c r="AI31" s="170" t="s">
        <v>52</v>
      </c>
      <c r="AJ31" s="170">
        <v>1.27</v>
      </c>
      <c r="AK31" s="170" t="s">
        <v>1295</v>
      </c>
      <c r="AL31" s="170">
        <v>0.46</v>
      </c>
      <c r="AM31" s="579" t="s">
        <v>1296</v>
      </c>
      <c r="AN31" s="180">
        <v>0</v>
      </c>
      <c r="AO31" s="170" t="s">
        <v>52</v>
      </c>
      <c r="AP31" s="170" t="s">
        <v>52</v>
      </c>
      <c r="AQ31" s="170" t="s">
        <v>52</v>
      </c>
      <c r="AR31" s="170" t="s">
        <v>52</v>
      </c>
      <c r="AS31" s="170" t="s">
        <v>52</v>
      </c>
      <c r="AT31" s="581" t="s">
        <v>52</v>
      </c>
      <c r="AU31" s="170" t="s">
        <v>52</v>
      </c>
      <c r="AV31" s="186" t="s">
        <v>52</v>
      </c>
      <c r="AW31" s="170" t="s">
        <v>52</v>
      </c>
      <c r="AX31" s="185" t="s">
        <v>52</v>
      </c>
      <c r="AY31" s="184" t="s">
        <v>52</v>
      </c>
      <c r="AZ31" s="179" t="s">
        <v>52</v>
      </c>
      <c r="BA31" s="170" t="s">
        <v>52</v>
      </c>
      <c r="BB31" s="173" t="s">
        <v>52</v>
      </c>
      <c r="BC31" s="173" t="s">
        <v>52</v>
      </c>
      <c r="BD31" s="170" t="s">
        <v>52</v>
      </c>
      <c r="BE31" s="170" t="s">
        <v>52</v>
      </c>
      <c r="BF31" s="170" t="s">
        <v>52</v>
      </c>
      <c r="BG31" s="170" t="s">
        <v>52</v>
      </c>
      <c r="BH31" s="170" t="s">
        <v>52</v>
      </c>
      <c r="BI31" s="170" t="s">
        <v>52</v>
      </c>
      <c r="BJ31" s="170" t="s">
        <v>52</v>
      </c>
      <c r="BK31" s="170" t="s">
        <v>52</v>
      </c>
      <c r="BL31" s="170" t="s">
        <v>52</v>
      </c>
      <c r="BM31" s="335" t="s">
        <v>2054</v>
      </c>
      <c r="BN31" s="335"/>
      <c r="BO31" s="335"/>
      <c r="BP31" s="53" t="str">
        <f t="shared" si="1"/>
        <v xml:space="preserve">OS, , </v>
      </c>
    </row>
    <row r="32" spans="1:68" s="8" customFormat="1" ht="40.15" customHeight="1">
      <c r="A32" s="570"/>
      <c r="B32" s="572"/>
      <c r="C32" s="568"/>
      <c r="D32" s="574"/>
      <c r="E32" s="179" t="s">
        <v>492</v>
      </c>
      <c r="F32" s="179" t="s">
        <v>900</v>
      </c>
      <c r="G32" s="576"/>
      <c r="H32" s="568"/>
      <c r="I32" s="179" t="s">
        <v>2052</v>
      </c>
      <c r="J32" s="180">
        <v>38</v>
      </c>
      <c r="K32" s="578"/>
      <c r="L32" s="170" t="s">
        <v>52</v>
      </c>
      <c r="M32" s="568"/>
      <c r="N32" s="331" t="s">
        <v>52</v>
      </c>
      <c r="O32" s="170" t="s">
        <v>52</v>
      </c>
      <c r="P32" s="180" t="s">
        <v>1309</v>
      </c>
      <c r="Q32" s="179" t="s">
        <v>973</v>
      </c>
      <c r="R32" s="170" t="s">
        <v>52</v>
      </c>
      <c r="S32" s="170" t="s">
        <v>1310</v>
      </c>
      <c r="T32" s="170" t="s">
        <v>52</v>
      </c>
      <c r="U32" s="189" t="s">
        <v>52</v>
      </c>
      <c r="V32" s="188" t="s">
        <v>52</v>
      </c>
      <c r="W32" s="188" t="s">
        <v>52</v>
      </c>
      <c r="X32" s="173" t="str">
        <f t="shared" si="0"/>
        <v>De novo, n (%) / Secondary, n (%): NR
Bone marrow blasts median % (range): 60% (NR-NR)
Baseline HgB, median g/dL (range): NR
ECOG PS 0/1, N (%): NR
Cytogenic risk (good/intermediate): NR
Cytogenic risk (poor): NR</v>
      </c>
      <c r="Y32" s="170" t="s">
        <v>52</v>
      </c>
      <c r="Z32" s="180">
        <v>38</v>
      </c>
      <c r="AA32" s="170" t="s">
        <v>52</v>
      </c>
      <c r="AB32" s="170" t="s">
        <v>52</v>
      </c>
      <c r="AC32" s="187"/>
      <c r="AD32" s="187"/>
      <c r="AE32" s="187"/>
      <c r="AF32" s="580"/>
      <c r="AG32" s="180">
        <v>38</v>
      </c>
      <c r="AH32" s="170" t="s">
        <v>52</v>
      </c>
      <c r="AI32" s="170" t="s">
        <v>52</v>
      </c>
      <c r="AJ32" s="187"/>
      <c r="AK32" s="187"/>
      <c r="AL32" s="187"/>
      <c r="AM32" s="580"/>
      <c r="AN32" s="180">
        <v>0</v>
      </c>
      <c r="AO32" s="170" t="s">
        <v>52</v>
      </c>
      <c r="AP32" s="170" t="s">
        <v>52</v>
      </c>
      <c r="AQ32" s="187"/>
      <c r="AR32" s="187"/>
      <c r="AS32" s="187"/>
      <c r="AT32" s="580"/>
      <c r="AU32" s="170" t="s">
        <v>52</v>
      </c>
      <c r="AV32" s="186" t="s">
        <v>52</v>
      </c>
      <c r="AW32" s="170" t="s">
        <v>52</v>
      </c>
      <c r="AX32" s="185" t="s">
        <v>52</v>
      </c>
      <c r="AY32" s="184" t="s">
        <v>52</v>
      </c>
      <c r="AZ32" s="179" t="s">
        <v>52</v>
      </c>
      <c r="BA32" s="170" t="s">
        <v>52</v>
      </c>
      <c r="BB32" s="173" t="s">
        <v>52</v>
      </c>
      <c r="BC32" s="173" t="s">
        <v>52</v>
      </c>
      <c r="BD32" s="170" t="s">
        <v>52</v>
      </c>
      <c r="BE32" s="170" t="s">
        <v>52</v>
      </c>
      <c r="BF32" s="170" t="s">
        <v>52</v>
      </c>
      <c r="BG32" s="170" t="s">
        <v>52</v>
      </c>
      <c r="BH32" s="170" t="s">
        <v>52</v>
      </c>
      <c r="BI32" s="170" t="s">
        <v>52</v>
      </c>
      <c r="BJ32" s="170" t="s">
        <v>52</v>
      </c>
      <c r="BK32" s="170" t="s">
        <v>52</v>
      </c>
      <c r="BL32" s="170" t="s">
        <v>52</v>
      </c>
      <c r="BM32" s="335" t="s">
        <v>2054</v>
      </c>
      <c r="BN32" s="335"/>
      <c r="BO32" s="335"/>
      <c r="BP32" s="53" t="str">
        <f t="shared" si="1"/>
        <v xml:space="preserve">OS, , </v>
      </c>
    </row>
    <row r="33" spans="1:68" s="8" customFormat="1" ht="40.15" customHeight="1">
      <c r="A33" s="183" t="s">
        <v>1084</v>
      </c>
      <c r="B33" s="182" t="s">
        <v>967</v>
      </c>
      <c r="C33" s="170" t="s">
        <v>52</v>
      </c>
      <c r="D33" s="170" t="s">
        <v>485</v>
      </c>
      <c r="E33" s="179" t="s">
        <v>482</v>
      </c>
      <c r="F33" s="179" t="s">
        <v>809</v>
      </c>
      <c r="G33" s="181" t="s">
        <v>1279</v>
      </c>
      <c r="H33" s="170" t="s">
        <v>52</v>
      </c>
      <c r="I33" s="179" t="s">
        <v>2053</v>
      </c>
      <c r="J33" s="180">
        <v>111</v>
      </c>
      <c r="K33" s="170">
        <v>111</v>
      </c>
      <c r="L33" s="170">
        <v>77</v>
      </c>
      <c r="M33" s="170">
        <v>77</v>
      </c>
      <c r="N33" s="328">
        <f>0.55*J33</f>
        <v>61.050000000000004</v>
      </c>
      <c r="O33" s="173">
        <v>0.55000000000000004</v>
      </c>
      <c r="P33" s="179" t="s">
        <v>1332</v>
      </c>
      <c r="Q33" s="179" t="s">
        <v>973</v>
      </c>
      <c r="R33" s="170" t="s">
        <v>52</v>
      </c>
      <c r="S33" s="170" t="s">
        <v>1333</v>
      </c>
      <c r="T33" s="170" t="s">
        <v>1334</v>
      </c>
      <c r="U33" s="178" t="s">
        <v>1335</v>
      </c>
      <c r="V33" s="173">
        <v>0.64900000000000002</v>
      </c>
      <c r="W33" s="173">
        <v>0.216</v>
      </c>
      <c r="X33" s="173" t="str">
        <f t="shared" si="0"/>
        <v>De novo, n (%) / Secondary, n (%): NR
Bone marrow blasts median % (range): NR (30%-NR)
Baseline HgB, median g/dL (range): 9.1g/dL (5.8g/dL - 14.2g/dL)
ECOG PS 0/1, N (%): 75 (67.6%)
Cytogenic risk (good/intermediate): 0.649
Cytogenic risk (poor): 0.216</v>
      </c>
      <c r="Y33" s="170" t="s">
        <v>1337</v>
      </c>
      <c r="Z33" s="170">
        <v>111</v>
      </c>
      <c r="AA33" s="170">
        <v>10.9</v>
      </c>
      <c r="AB33" s="170" t="s">
        <v>52</v>
      </c>
      <c r="AC33" s="170" t="s">
        <v>52</v>
      </c>
      <c r="AD33" s="170" t="s">
        <v>52</v>
      </c>
      <c r="AE33" s="170" t="s">
        <v>52</v>
      </c>
      <c r="AF33" s="176" t="str">
        <f>"Overall survival for all patients is "&amp;AA33&amp;" months, Cl="&amp;AB33&amp;", p="&amp;AE33</f>
        <v>Overall survival for all patients is 10.9 months, Cl=NR, p=NR</v>
      </c>
      <c r="AG33" s="170">
        <v>111</v>
      </c>
      <c r="AH33" s="170">
        <v>10.9</v>
      </c>
      <c r="AI33" s="170" t="s">
        <v>52</v>
      </c>
      <c r="AJ33" s="170" t="s">
        <v>52</v>
      </c>
      <c r="AK33" s="170" t="s">
        <v>52</v>
      </c>
      <c r="AL33" s="177" t="s">
        <v>52</v>
      </c>
      <c r="AM33" s="176" t="str">
        <f>"Overall survival for all patients is "&amp;AH33&amp;" months, Cl="&amp;AI33&amp;", p="&amp;AL33</f>
        <v>Overall survival for all patients is 10.9 months, Cl=NR, p=NR</v>
      </c>
      <c r="AN33" s="170" t="s">
        <v>52</v>
      </c>
      <c r="AO33" s="170" t="s">
        <v>52</v>
      </c>
      <c r="AP33" s="170" t="s">
        <v>52</v>
      </c>
      <c r="AQ33" s="170" t="s">
        <v>52</v>
      </c>
      <c r="AR33" s="170" t="s">
        <v>52</v>
      </c>
      <c r="AS33" s="170" t="s">
        <v>52</v>
      </c>
      <c r="AT33" s="175" t="s">
        <v>52</v>
      </c>
      <c r="AU33" s="170">
        <v>111</v>
      </c>
      <c r="AV33" s="72">
        <f>13.5%+1.8%</f>
        <v>0.15300000000000002</v>
      </c>
      <c r="AW33" s="170">
        <v>111</v>
      </c>
      <c r="AX33" s="64">
        <f>13.5%+1.8%</f>
        <v>0.15300000000000002</v>
      </c>
      <c r="AY33" s="17">
        <v>0.13500000000000001</v>
      </c>
      <c r="AZ33" s="174" t="str">
        <f>AW33 &amp;" patients had "&amp;TEXT(AX33,"0.0%")&amp;" CR and "&amp;TEXT(AY33,"0.0%")&amp;" CRi"</f>
        <v>111 patients had 15.3% CR and 13.5% CRi</v>
      </c>
      <c r="BA33" s="170" t="s">
        <v>52</v>
      </c>
      <c r="BB33" s="173" t="s">
        <v>52</v>
      </c>
      <c r="BC33" s="173" t="s">
        <v>52</v>
      </c>
      <c r="BD33" s="170" t="s">
        <v>52</v>
      </c>
      <c r="BE33" s="172" t="s">
        <v>52</v>
      </c>
      <c r="BF33" s="172" t="s">
        <v>52</v>
      </c>
      <c r="BG33" s="172" t="s">
        <v>52</v>
      </c>
      <c r="BH33" s="172" t="s">
        <v>52</v>
      </c>
      <c r="BI33" s="172" t="s">
        <v>52</v>
      </c>
      <c r="BJ33" s="171" t="s">
        <v>1344</v>
      </c>
      <c r="BK33" s="170" t="s">
        <v>52</v>
      </c>
      <c r="BL33" s="170" t="s">
        <v>52</v>
      </c>
      <c r="BM33" s="335" t="s">
        <v>2054</v>
      </c>
      <c r="BN33" s="335" t="s">
        <v>2055</v>
      </c>
      <c r="BO33" s="335" t="s">
        <v>2056</v>
      </c>
      <c r="BP33" s="53" t="str">
        <f t="shared" si="1"/>
        <v>OS, Response, Treatment Pattern</v>
      </c>
    </row>
  </sheetData>
  <autoFilter ref="A9:BP33" xr:uid="{459106AD-DEC5-4971-A42F-3A467FA1C332}"/>
  <mergeCells count="11">
    <mergeCell ref="K31:K32"/>
    <mergeCell ref="M31:M32"/>
    <mergeCell ref="AF31:AF32"/>
    <mergeCell ref="AM31:AM32"/>
    <mergeCell ref="AT31:AT32"/>
    <mergeCell ref="H31:H32"/>
    <mergeCell ref="A31:A32"/>
    <mergeCell ref="B31:B32"/>
    <mergeCell ref="C31:C32"/>
    <mergeCell ref="D31:D32"/>
    <mergeCell ref="G31:G32"/>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0995B-E681-4914-AE34-CAE0BBA303C3}">
  <sheetPr>
    <tabColor rgb="FF4B277B"/>
  </sheetPr>
  <dimension ref="A1:O60"/>
  <sheetViews>
    <sheetView showGridLines="0" zoomScale="70" zoomScaleNormal="70" workbookViewId="0">
      <pane ySplit="1" topLeftCell="A41" activePane="bottomLeft" state="frozen"/>
      <selection activeCell="BJ9" sqref="BJ9"/>
      <selection pane="bottomLeft" activeCell="F2" sqref="F2"/>
    </sheetView>
  </sheetViews>
  <sheetFormatPr defaultColWidth="46.75" defaultRowHeight="15.75" customHeight="1"/>
  <cols>
    <col min="1" max="3" width="15.75" style="117" customWidth="1"/>
    <col min="4" max="4" width="16.25" style="116" customWidth="1"/>
    <col min="5" max="5" width="14.25" style="116" customWidth="1"/>
    <col min="6" max="6" width="24.75" style="116" customWidth="1"/>
    <col min="7" max="7" width="34.25" style="116" customWidth="1"/>
    <col min="8" max="8" width="27.75" style="116" customWidth="1"/>
    <col min="9" max="9" width="33.75" style="116" customWidth="1"/>
    <col min="10" max="10" width="29.75" style="116" customWidth="1"/>
    <col min="11" max="11" width="27.25" style="116" customWidth="1"/>
    <col min="12" max="12" width="26.75" style="116" customWidth="1"/>
    <col min="13" max="13" width="32.25" style="116" customWidth="1"/>
    <col min="14" max="14" width="32.25" style="116" hidden="1" customWidth="1"/>
    <col min="15" max="16384" width="46.75" style="116"/>
  </cols>
  <sheetData>
    <row r="1" spans="1:15" s="163" customFormat="1" ht="78" customHeight="1">
      <c r="A1" s="137" t="s">
        <v>2</v>
      </c>
      <c r="B1" s="137"/>
      <c r="C1" s="137" t="s">
        <v>3</v>
      </c>
      <c r="D1" s="137" t="s">
        <v>20</v>
      </c>
      <c r="E1" s="137" t="s">
        <v>4</v>
      </c>
      <c r="F1" s="137" t="s">
        <v>21</v>
      </c>
      <c r="G1" s="137" t="s">
        <v>2027</v>
      </c>
      <c r="H1" s="137" t="s">
        <v>22</v>
      </c>
      <c r="I1" s="137" t="s">
        <v>23</v>
      </c>
      <c r="J1" s="137" t="s">
        <v>24</v>
      </c>
      <c r="K1" s="168" t="s">
        <v>25</v>
      </c>
      <c r="L1" s="168" t="s">
        <v>28</v>
      </c>
      <c r="M1" s="137" t="s">
        <v>204</v>
      </c>
      <c r="N1" s="137"/>
      <c r="O1" s="168" t="s">
        <v>205</v>
      </c>
    </row>
    <row r="2" spans="1:15" ht="78" customHeight="1">
      <c r="A2" s="148" t="s">
        <v>62</v>
      </c>
      <c r="B2" s="309" t="s">
        <v>2024</v>
      </c>
      <c r="C2" s="149" t="s">
        <v>63</v>
      </c>
      <c r="D2" s="148" t="s">
        <v>64</v>
      </c>
      <c r="E2" s="147" t="s">
        <v>65</v>
      </c>
      <c r="F2" s="147" t="s">
        <v>66</v>
      </c>
      <c r="G2" s="147" t="s">
        <v>67</v>
      </c>
      <c r="H2" s="150" t="s">
        <v>68</v>
      </c>
      <c r="I2" s="130" t="s">
        <v>71</v>
      </c>
      <c r="J2" s="130" t="s">
        <v>74</v>
      </c>
      <c r="K2" s="130" t="s">
        <v>54</v>
      </c>
      <c r="L2" s="130" t="s">
        <v>75</v>
      </c>
      <c r="M2" s="310" t="s">
        <v>2029</v>
      </c>
      <c r="N2" s="310" t="str">
        <f>M2&amp;"
"</f>
        <v xml:space="preserve">Summary Place Holder
</v>
      </c>
      <c r="O2" s="310" t="s">
        <v>54</v>
      </c>
    </row>
    <row r="3" spans="1:15" ht="78" customHeight="1">
      <c r="A3" s="311" t="s">
        <v>78</v>
      </c>
      <c r="B3" s="309" t="s">
        <v>2024</v>
      </c>
      <c r="C3" s="149" t="s">
        <v>83</v>
      </c>
      <c r="D3" s="152" t="s">
        <v>86</v>
      </c>
      <c r="E3" s="151" t="s">
        <v>90</v>
      </c>
      <c r="F3" s="151" t="s">
        <v>93</v>
      </c>
      <c r="G3" s="151" t="s">
        <v>95</v>
      </c>
      <c r="H3" s="150" t="s">
        <v>52</v>
      </c>
      <c r="I3" s="150" t="s">
        <v>52</v>
      </c>
      <c r="J3" s="150" t="s">
        <v>99</v>
      </c>
      <c r="K3" s="150" t="s">
        <v>52</v>
      </c>
      <c r="L3" s="150" t="s">
        <v>102</v>
      </c>
      <c r="M3" s="310" t="s">
        <v>2029</v>
      </c>
      <c r="N3" s="310" t="str">
        <f t="shared" ref="N3:N45" si="0">M3&amp;"
"</f>
        <v xml:space="preserve">Summary Place Holder
</v>
      </c>
      <c r="O3" s="310" t="s">
        <v>54</v>
      </c>
    </row>
    <row r="4" spans="1:15" ht="78" customHeight="1">
      <c r="A4" s="148" t="s">
        <v>106</v>
      </c>
      <c r="B4" s="309" t="s">
        <v>2024</v>
      </c>
      <c r="C4" s="153" t="s">
        <v>109</v>
      </c>
      <c r="D4" s="148" t="s">
        <v>113</v>
      </c>
      <c r="E4" s="147" t="s">
        <v>114</v>
      </c>
      <c r="F4" s="147" t="s">
        <v>1961</v>
      </c>
      <c r="G4" s="147" t="s">
        <v>120</v>
      </c>
      <c r="H4" s="130" t="s">
        <v>121</v>
      </c>
      <c r="I4" s="130" t="s">
        <v>122</v>
      </c>
      <c r="J4" s="130" t="s">
        <v>123</v>
      </c>
      <c r="K4" s="122" t="s">
        <v>124</v>
      </c>
      <c r="L4" s="122" t="s">
        <v>126</v>
      </c>
      <c r="M4" s="310" t="s">
        <v>2029</v>
      </c>
      <c r="N4" s="310" t="str">
        <f t="shared" si="0"/>
        <v xml:space="preserve">Summary Place Holder
</v>
      </c>
      <c r="O4" s="310" t="s">
        <v>54</v>
      </c>
    </row>
    <row r="5" spans="1:15" ht="78" customHeight="1">
      <c r="A5" s="148" t="s">
        <v>131</v>
      </c>
      <c r="B5" s="309" t="s">
        <v>2024</v>
      </c>
      <c r="C5" s="149" t="s">
        <v>132</v>
      </c>
      <c r="D5" s="148" t="s">
        <v>133</v>
      </c>
      <c r="E5" s="147" t="s">
        <v>134</v>
      </c>
      <c r="F5" s="147" t="s">
        <v>1960</v>
      </c>
      <c r="G5" s="147" t="s">
        <v>137</v>
      </c>
      <c r="H5" s="130" t="s">
        <v>139</v>
      </c>
      <c r="I5" s="130" t="s">
        <v>141</v>
      </c>
      <c r="J5" s="130" t="s">
        <v>143</v>
      </c>
      <c r="K5" s="130" t="s">
        <v>145</v>
      </c>
      <c r="L5" s="130" t="s">
        <v>146</v>
      </c>
      <c r="M5" s="310" t="s">
        <v>2029</v>
      </c>
      <c r="N5" s="310" t="str">
        <f t="shared" si="0"/>
        <v xml:space="preserve">Summary Place Holder
</v>
      </c>
      <c r="O5" s="310" t="s">
        <v>54</v>
      </c>
    </row>
    <row r="6" spans="1:15" s="160" customFormat="1" ht="78" customHeight="1">
      <c r="A6" s="148" t="s">
        <v>152</v>
      </c>
      <c r="B6" s="309" t="s">
        <v>2024</v>
      </c>
      <c r="C6" s="153" t="s">
        <v>154</v>
      </c>
      <c r="D6" s="148" t="s">
        <v>155</v>
      </c>
      <c r="E6" s="147" t="s">
        <v>156</v>
      </c>
      <c r="F6" s="147" t="s">
        <v>157</v>
      </c>
      <c r="G6" s="147" t="s">
        <v>158</v>
      </c>
      <c r="H6" s="130" t="s">
        <v>160</v>
      </c>
      <c r="I6" s="130" t="s">
        <v>162</v>
      </c>
      <c r="J6" s="130" t="s">
        <v>164</v>
      </c>
      <c r="K6" s="130" t="s">
        <v>166</v>
      </c>
      <c r="L6" s="122" t="s">
        <v>168</v>
      </c>
      <c r="M6" s="312" t="s">
        <v>2029</v>
      </c>
      <c r="N6" s="310" t="str">
        <f t="shared" si="0"/>
        <v xml:space="preserve">Summary Place Holder
</v>
      </c>
      <c r="O6" s="312" t="s">
        <v>54</v>
      </c>
    </row>
    <row r="7" spans="1:15" ht="78" customHeight="1">
      <c r="A7" s="313" t="s">
        <v>177</v>
      </c>
      <c r="B7" s="309" t="s">
        <v>2024</v>
      </c>
      <c r="C7" s="149" t="s">
        <v>182</v>
      </c>
      <c r="D7" s="152" t="s">
        <v>86</v>
      </c>
      <c r="E7" s="151" t="s">
        <v>183</v>
      </c>
      <c r="F7" s="151" t="s">
        <v>184</v>
      </c>
      <c r="G7" s="151" t="s">
        <v>185</v>
      </c>
      <c r="H7" s="150" t="s">
        <v>187</v>
      </c>
      <c r="I7" s="150" t="s">
        <v>189</v>
      </c>
      <c r="J7" s="150" t="s">
        <v>190</v>
      </c>
      <c r="K7" s="150" t="s">
        <v>192</v>
      </c>
      <c r="L7" s="150" t="s">
        <v>195</v>
      </c>
      <c r="M7" s="310" t="s">
        <v>2029</v>
      </c>
      <c r="N7" s="310" t="str">
        <f t="shared" si="0"/>
        <v xml:space="preserve">Summary Place Holder
</v>
      </c>
      <c r="O7" s="310" t="s">
        <v>54</v>
      </c>
    </row>
    <row r="8" spans="1:15" s="161" customFormat="1" ht="82.5" customHeight="1">
      <c r="A8" s="169" t="s">
        <v>196</v>
      </c>
      <c r="B8" s="309" t="s">
        <v>2024</v>
      </c>
      <c r="C8" s="149" t="s">
        <v>197</v>
      </c>
      <c r="D8" s="148" t="s">
        <v>198</v>
      </c>
      <c r="E8" s="147" t="s">
        <v>199</v>
      </c>
      <c r="F8" s="147" t="s">
        <v>200</v>
      </c>
      <c r="G8" s="147" t="s">
        <v>158</v>
      </c>
      <c r="H8" s="130" t="s">
        <v>160</v>
      </c>
      <c r="I8" s="130" t="s">
        <v>201</v>
      </c>
      <c r="J8" s="130" t="s">
        <v>202</v>
      </c>
      <c r="K8" s="130" t="s">
        <v>166</v>
      </c>
      <c r="L8" s="122" t="s">
        <v>203</v>
      </c>
      <c r="M8" s="310" t="s">
        <v>2029</v>
      </c>
      <c r="N8" s="310" t="str">
        <f t="shared" si="0"/>
        <v xml:space="preserve">Summary Place Holder
</v>
      </c>
      <c r="O8" s="310" t="s">
        <v>54</v>
      </c>
    </row>
    <row r="9" spans="1:15" ht="78" customHeight="1">
      <c r="A9" s="309" t="s">
        <v>1959</v>
      </c>
      <c r="B9" s="309" t="s">
        <v>2024</v>
      </c>
      <c r="C9" s="157" t="s">
        <v>1958</v>
      </c>
      <c r="D9" s="156" t="s">
        <v>1957</v>
      </c>
      <c r="E9" s="155" t="s">
        <v>1956</v>
      </c>
      <c r="F9" s="155" t="s">
        <v>1955</v>
      </c>
      <c r="G9" s="155" t="s">
        <v>1954</v>
      </c>
      <c r="H9" s="154" t="s">
        <v>1953</v>
      </c>
      <c r="I9" s="154" t="s">
        <v>1952</v>
      </c>
      <c r="J9" s="154" t="s">
        <v>1951</v>
      </c>
      <c r="K9" s="154" t="s">
        <v>1950</v>
      </c>
      <c r="L9" s="154" t="s">
        <v>1949</v>
      </c>
      <c r="M9" s="310" t="s">
        <v>2029</v>
      </c>
      <c r="N9" s="310" t="str">
        <f t="shared" si="0"/>
        <v xml:space="preserve">Summary Place Holder
</v>
      </c>
      <c r="O9" s="310" t="s">
        <v>54</v>
      </c>
    </row>
    <row r="10" spans="1:15" ht="78" customHeight="1">
      <c r="A10" s="309" t="s">
        <v>1939</v>
      </c>
      <c r="B10" s="309" t="s">
        <v>2024</v>
      </c>
      <c r="C10" s="157" t="s">
        <v>1938</v>
      </c>
      <c r="D10" s="156" t="s">
        <v>1937</v>
      </c>
      <c r="E10" s="155" t="s">
        <v>1936</v>
      </c>
      <c r="F10" s="155" t="s">
        <v>1935</v>
      </c>
      <c r="G10" s="155" t="s">
        <v>1934</v>
      </c>
      <c r="H10" s="154" t="s">
        <v>1933</v>
      </c>
      <c r="I10" s="154" t="s">
        <v>52</v>
      </c>
      <c r="J10" s="306" t="s">
        <v>52</v>
      </c>
      <c r="K10" s="306" t="s">
        <v>52</v>
      </c>
      <c r="L10" s="306" t="s">
        <v>52</v>
      </c>
      <c r="M10" s="310" t="s">
        <v>2029</v>
      </c>
      <c r="N10" s="310" t="str">
        <f t="shared" si="0"/>
        <v xml:space="preserve">Summary Place Holder
</v>
      </c>
      <c r="O10" s="310" t="s">
        <v>54</v>
      </c>
    </row>
    <row r="11" spans="1:15" s="160" customFormat="1" ht="78" customHeight="1">
      <c r="A11" s="314" t="s">
        <v>1948</v>
      </c>
      <c r="B11" s="314" t="s">
        <v>206</v>
      </c>
      <c r="C11" s="157" t="s">
        <v>1947</v>
      </c>
      <c r="D11" s="167" t="s">
        <v>1946</v>
      </c>
      <c r="E11" s="166" t="s">
        <v>1945</v>
      </c>
      <c r="F11" s="154" t="s">
        <v>1944</v>
      </c>
      <c r="G11" s="154" t="s">
        <v>1943</v>
      </c>
      <c r="H11" s="307" t="s">
        <v>54</v>
      </c>
      <c r="I11" s="307" t="s">
        <v>54</v>
      </c>
      <c r="J11" s="315" t="s">
        <v>54</v>
      </c>
      <c r="K11" s="315" t="s">
        <v>54</v>
      </c>
      <c r="L11" s="315" t="s">
        <v>54</v>
      </c>
      <c r="M11" s="154" t="s">
        <v>1942</v>
      </c>
      <c r="N11" s="310" t="str">
        <f t="shared" si="0"/>
        <v xml:space="preserve">For a health plan with 1 million members per year, the model estimated 49 patients with newly diagnosed AML who are ineligible for intensive induction chemotherapy. The adoption of VEN was calculated to have an initial annual impact on the incremental total budget of $1,395,553. The annual incremental PMPM was $0.12, $0.17, and $0.17 for Year 1, 2, and 3, respectively
</v>
      </c>
      <c r="O11" s="154" t="s">
        <v>1941</v>
      </c>
    </row>
    <row r="12" spans="1:15" s="160" customFormat="1" ht="78" customHeight="1">
      <c r="A12" s="148" t="s">
        <v>207</v>
      </c>
      <c r="B12" s="148" t="s">
        <v>206</v>
      </c>
      <c r="C12" s="149" t="s">
        <v>208</v>
      </c>
      <c r="D12" s="165" t="s">
        <v>209</v>
      </c>
      <c r="E12" s="164" t="s">
        <v>58</v>
      </c>
      <c r="F12" s="130" t="s">
        <v>210</v>
      </c>
      <c r="G12" s="130" t="s">
        <v>211</v>
      </c>
      <c r="H12" s="307" t="s">
        <v>54</v>
      </c>
      <c r="I12" s="307" t="s">
        <v>54</v>
      </c>
      <c r="J12" s="315" t="s">
        <v>54</v>
      </c>
      <c r="K12" s="315" t="s">
        <v>54</v>
      </c>
      <c r="L12" s="315" t="s">
        <v>54</v>
      </c>
      <c r="M12" s="130" t="s">
        <v>212</v>
      </c>
      <c r="N12" s="310" t="str">
        <f t="shared" si="0"/>
        <v xml:space="preserve">Budgetary impact (AZA vs. DEC): BRL $45,000, 000 (USD $25,000,000) for the public health care system SUS
</v>
      </c>
      <c r="O12" s="130" t="s">
        <v>213</v>
      </c>
    </row>
    <row r="13" spans="1:15" s="160" customFormat="1" ht="78" customHeight="1">
      <c r="A13" s="148" t="s">
        <v>214</v>
      </c>
      <c r="B13" s="148" t="s">
        <v>206</v>
      </c>
      <c r="C13" s="149" t="s">
        <v>215</v>
      </c>
      <c r="D13" s="165" t="s">
        <v>216</v>
      </c>
      <c r="E13" s="164" t="s">
        <v>58</v>
      </c>
      <c r="F13" s="130" t="s">
        <v>217</v>
      </c>
      <c r="G13" s="130" t="s">
        <v>218</v>
      </c>
      <c r="H13" s="307" t="s">
        <v>54</v>
      </c>
      <c r="I13" s="307" t="s">
        <v>54</v>
      </c>
      <c r="J13" s="315" t="s">
        <v>54</v>
      </c>
      <c r="K13" s="315" t="s">
        <v>54</v>
      </c>
      <c r="L13" s="315" t="s">
        <v>54</v>
      </c>
      <c r="M13" s="130" t="s">
        <v>219</v>
      </c>
      <c r="N13" s="310" t="str">
        <f t="shared" si="0"/>
        <v xml:space="preserve">418 pts would be eligible for azacitidine treatment in the first year of use (416 and 413 in the next 2 years, respectively)
Azacitidine would gradually replace low-dose chemotherapy, and to a lesser extent decitabine and high-dose chemotherapy, resulting in 216, 233 and 250 pts treated with azacitidine in the new indication in the first 3 years, corresponding with €1.9 M in total savings for the NHS. These cost savings were especially related to costs of treatment administration and the convenient mode of subcutaneous administration.
</v>
      </c>
      <c r="O13" s="130" t="s">
        <v>220</v>
      </c>
    </row>
    <row r="14" spans="1:15" s="160" customFormat="1" ht="78" customHeight="1">
      <c r="A14" s="148" t="s">
        <v>223</v>
      </c>
      <c r="B14" s="148" t="s">
        <v>2026</v>
      </c>
      <c r="C14" s="149" t="s">
        <v>224</v>
      </c>
      <c r="D14" s="165" t="s">
        <v>225</v>
      </c>
      <c r="E14" s="164" t="s">
        <v>58</v>
      </c>
      <c r="F14" s="130" t="s">
        <v>226</v>
      </c>
      <c r="G14" s="130" t="s">
        <v>227</v>
      </c>
      <c r="H14" s="307" t="s">
        <v>54</v>
      </c>
      <c r="I14" s="307" t="s">
        <v>54</v>
      </c>
      <c r="J14" s="315" t="s">
        <v>54</v>
      </c>
      <c r="K14" s="315" t="s">
        <v>54</v>
      </c>
      <c r="L14" s="315" t="s">
        <v>54</v>
      </c>
      <c r="M14" s="130" t="s">
        <v>228</v>
      </c>
      <c r="N14" s="310" t="str">
        <f t="shared" si="0"/>
        <v xml:space="preserve">Number of patients received AZA in Manitoba, Canada: 27 (20 for approved indications (AI) and 9 for non-approved indications (NAI))
AI vs. NAI: Number of AZA vials used: 1639 vs. 311 / Total cycles of AZA administered: 141 vs. 23 / Total Cost $ 1,029,292 vs. $195,308 / Cost/cycle $ 7,300 vs. 8,492 / cost per patient: $51,465 vs. $21,701
</v>
      </c>
      <c r="O14" s="130" t="s">
        <v>229</v>
      </c>
    </row>
    <row r="15" spans="1:15" s="160" customFormat="1" ht="78" customHeight="1">
      <c r="A15" s="148" t="s">
        <v>231</v>
      </c>
      <c r="B15" s="148" t="s">
        <v>2026</v>
      </c>
      <c r="C15" s="149" t="s">
        <v>233</v>
      </c>
      <c r="D15" s="162" t="s">
        <v>234</v>
      </c>
      <c r="E15" s="147" t="s">
        <v>235</v>
      </c>
      <c r="F15" s="147" t="s">
        <v>236</v>
      </c>
      <c r="G15" s="147" t="s">
        <v>237</v>
      </c>
      <c r="H15" s="307" t="s">
        <v>54</v>
      </c>
      <c r="I15" s="307" t="s">
        <v>54</v>
      </c>
      <c r="J15" s="315" t="s">
        <v>54</v>
      </c>
      <c r="K15" s="315" t="s">
        <v>54</v>
      </c>
      <c r="L15" s="315" t="s">
        <v>54</v>
      </c>
      <c r="M15" s="130" t="s">
        <v>238</v>
      </c>
      <c r="N15" s="310" t="str">
        <f t="shared" si="0"/>
        <v xml:space="preserve">Assuming a standard body surface of 1.75m^2 , each decitabine cycle (5 days) costs €5545 (€22 180 for a mean of 4 cycles), while the cost of each azacitidine cycle (7 days) was €2747 (€16 482 for a mean of 6 cycles).
Treatment with azacitidine resulted in savings of €5698 per treated patient
</v>
      </c>
      <c r="O15" s="130" t="s">
        <v>239</v>
      </c>
    </row>
    <row r="16" spans="1:15" s="160" customFormat="1" ht="78" customHeight="1">
      <c r="A16" s="148" t="s">
        <v>242</v>
      </c>
      <c r="B16" s="148" t="s">
        <v>2026</v>
      </c>
      <c r="C16" s="153" t="s">
        <v>243</v>
      </c>
      <c r="D16" s="162" t="s">
        <v>244</v>
      </c>
      <c r="E16" s="147" t="s">
        <v>245</v>
      </c>
      <c r="F16" s="147" t="s">
        <v>246</v>
      </c>
      <c r="G16" s="130" t="s">
        <v>247</v>
      </c>
      <c r="H16" s="307" t="s">
        <v>54</v>
      </c>
      <c r="I16" s="307" t="s">
        <v>54</v>
      </c>
      <c r="J16" s="315" t="s">
        <v>54</v>
      </c>
      <c r="K16" s="315" t="s">
        <v>54</v>
      </c>
      <c r="L16" s="315" t="s">
        <v>54</v>
      </c>
      <c r="M16" s="130" t="s">
        <v>248</v>
      </c>
      <c r="N16" s="310" t="str">
        <f t="shared" si="0"/>
        <v xml:space="preserve">Cost of pharmacotherapy (Azacitidine vs. Low-dose cytarabine): RUB 1,197,157₽ (€28,503) vs. RUB 22,841₽ (€544)
Total costs of treatment (Azacitidine vs. Low-dose cytarabine): RUB 2,658,703₽ (€63,302) vs. RUB 1,749,130₽ (€41,646)
A cost-effectiveness ratio (Azacitidine vs. Low-dose cytarabine): RUB 1,303,286₽/LYS (€31030/LYS) vs. RUB 1,366,508₽/LYS (€32536/LYS)
</v>
      </c>
      <c r="O16" s="130" t="s">
        <v>249</v>
      </c>
    </row>
    <row r="17" spans="1:15" s="160" customFormat="1" ht="78" customHeight="1">
      <c r="A17" s="148" t="s">
        <v>250</v>
      </c>
      <c r="B17" s="148" t="s">
        <v>2026</v>
      </c>
      <c r="C17" s="149" t="s">
        <v>251</v>
      </c>
      <c r="D17" s="162" t="s">
        <v>252</v>
      </c>
      <c r="E17" s="147" t="s">
        <v>253</v>
      </c>
      <c r="F17" s="147" t="s">
        <v>1940</v>
      </c>
      <c r="G17" s="147" t="s">
        <v>254</v>
      </c>
      <c r="H17" s="307" t="s">
        <v>54</v>
      </c>
      <c r="I17" s="307" t="s">
        <v>54</v>
      </c>
      <c r="J17" s="315" t="s">
        <v>54</v>
      </c>
      <c r="K17" s="315" t="s">
        <v>54</v>
      </c>
      <c r="L17" s="315" t="s">
        <v>54</v>
      </c>
      <c r="M17" s="130" t="s">
        <v>255</v>
      </c>
      <c r="N17" s="310" t="str">
        <f t="shared" si="0"/>
        <v xml:space="preserve">Hospitalization for TEAEs (IC vs. AZA): 1.91% vs. 1.71%
Hospitalization for TEAEs (LDAC vs. AZA): 2.24% vs. 2.02%
Hospitalization for TEAEs (BSC vs. AZA): 4.39% vs. 1.99%
Days hospitalized for TEAEs (IC vs. AZA): 50.4 vs. 27.8
Days hospitalized for TEAEs (LDAC vs. AZA): 35.0 vs. 28.7
Days hospitalized for TEAEs (BSC vs. AZA): 48.5 vs. 28.4
The 56-day rates of blood products utilized tended to decrease over time in all treatment arms and were generally comparable between AZA and BSC and AZA and LDAC. The rate of blood product utilization was higher in IC treated patients in the first 56 days of treatment and
then became comparable with the rate for AZA over the remaining treatment intervals.
</v>
      </c>
      <c r="O17" s="130" t="s">
        <v>256</v>
      </c>
    </row>
    <row r="18" spans="1:15" s="160" customFormat="1" ht="78" customHeight="1">
      <c r="A18" s="148" t="s">
        <v>261</v>
      </c>
      <c r="B18" s="148" t="s">
        <v>2026</v>
      </c>
      <c r="C18" s="149" t="s">
        <v>262</v>
      </c>
      <c r="D18" s="162" t="s">
        <v>263</v>
      </c>
      <c r="E18" s="147" t="s">
        <v>58</v>
      </c>
      <c r="F18" s="147" t="s">
        <v>265</v>
      </c>
      <c r="G18" s="147" t="s">
        <v>266</v>
      </c>
      <c r="H18" s="307" t="s">
        <v>54</v>
      </c>
      <c r="I18" s="307" t="s">
        <v>54</v>
      </c>
      <c r="J18" s="315" t="s">
        <v>54</v>
      </c>
      <c r="K18" s="315" t="s">
        <v>54</v>
      </c>
      <c r="L18" s="315" t="s">
        <v>54</v>
      </c>
      <c r="M18" s="130" t="s">
        <v>267</v>
      </c>
      <c r="N18" s="310" t="str">
        <f t="shared" si="0"/>
        <v xml:space="preserve">Hospitalized at initiation of AZA: 26 (46%)
Median duration of hospital stay: 14.5 days
Patients who were hospitalized at least once after start of treatment: 82%
Median total inpatient stay: 17 days. 
Median number of admissions per patient: 2.
ICU care during the follow-up period: 5 (9%)
Median proportion of days spent inpatient out of total days of follow-up was: 8.7%
</v>
      </c>
      <c r="O18" s="130" t="s">
        <v>269</v>
      </c>
    </row>
    <row r="19" spans="1:15" ht="78" customHeight="1">
      <c r="A19" s="126" t="s">
        <v>274</v>
      </c>
      <c r="B19" s="148" t="s">
        <v>2026</v>
      </c>
      <c r="C19" s="126" t="s">
        <v>275</v>
      </c>
      <c r="D19" s="152" t="s">
        <v>276</v>
      </c>
      <c r="E19" s="151" t="s">
        <v>277</v>
      </c>
      <c r="F19" s="151" t="s">
        <v>278</v>
      </c>
      <c r="G19" s="151" t="s">
        <v>279</v>
      </c>
      <c r="H19" s="308" t="s">
        <v>54</v>
      </c>
      <c r="I19" s="308" t="s">
        <v>54</v>
      </c>
      <c r="J19" s="306" t="s">
        <v>54</v>
      </c>
      <c r="K19" s="306" t="s">
        <v>54</v>
      </c>
      <c r="L19" s="306" t="s">
        <v>54</v>
      </c>
      <c r="M19" s="150" t="s">
        <v>280</v>
      </c>
      <c r="N19" s="310" t="str">
        <f t="shared" si="0"/>
        <v xml:space="preserve">HCRU varied significantly between patient cohorts. AML patients in remission demonstrated significantly lower rates of hospitalizations, diagnostic radiology tests, and red cell and platelet transfusions, while the rates of office visits were significantly higher and there was no significant difference in the rates of ER visits as compared to newly-diagnosed patients. 
The rates of all HCRU were significantly higher among patients in relapse as compared to newly-diagnosed patients
Among treated newly-diagnosed AML patients, 47% received IC, and 23% received HMA. The most common IC combinations were cytarabine+daunorubicin (48%), cytarabine+fludarabine (36%), cytarabine+idarubicin (34%), and cytarabine+mitoxantrone (26%). Among patients treated with HMA, 65% were on azacytidine and 42% were on decitabine. Treatment patterns for patients in relapse were similar to those for newly-diagnosed patients, with slightly higher rates of IC (56%) and HMAs (28%). 
Among patients in remission who were previously treated with IC, 45% received SCT in addition to IC.
</v>
      </c>
      <c r="O19" s="150" t="s">
        <v>281</v>
      </c>
    </row>
    <row r="20" spans="1:15" ht="78" customHeight="1">
      <c r="A20" s="126" t="s">
        <v>282</v>
      </c>
      <c r="B20" s="148" t="s">
        <v>2026</v>
      </c>
      <c r="C20" s="126" t="s">
        <v>283</v>
      </c>
      <c r="D20" s="152" t="s">
        <v>276</v>
      </c>
      <c r="E20" s="151" t="s">
        <v>284</v>
      </c>
      <c r="F20" s="151" t="s">
        <v>285</v>
      </c>
      <c r="G20" s="151" t="s">
        <v>286</v>
      </c>
      <c r="H20" s="308" t="s">
        <v>54</v>
      </c>
      <c r="I20" s="308" t="s">
        <v>54</v>
      </c>
      <c r="J20" s="306" t="s">
        <v>54</v>
      </c>
      <c r="K20" s="306" t="s">
        <v>54</v>
      </c>
      <c r="L20" s="306" t="s">
        <v>54</v>
      </c>
      <c r="M20" s="150" t="s">
        <v>287</v>
      </c>
      <c r="N20" s="310" t="str">
        <f t="shared" si="0"/>
        <v xml:space="preserve">Non-intensive therapy consisted of mainly hypomethylating agents or low dose cytarabine. Median duration to achieve CR was 43 days (14-224), and median inpatient stay was 32 days (0-91). For patients who received non-intensive regimen, median time to CR and hospitalization length of stay were 381 days (28-224), and 32 days (0-91) respectively. Median RBC utilized from diagnosis to CR was 7 units (0-81), and median PLT was 10 units (0-42). There was no difference in RBC or PLT transfusion utilization for patients ≥60 compared to &lt;60. (p=0.64, p=0.70 respectively). No significant difference was found for RBC and PLT transfusions between patients receiving intensive vs. non-intensive chemotherapy (p=0.37, p=0.43 respectively). Each additional day of inpatient stay predicts a 1.3% increase in RBC transfusions. For an estimated mean activity-based cost of RBC transfusions at $761/unit, a 10 day increase in inpatient stay with a 13.9% increase in RBC transfusions would result in an increased cost of $1058/patient (calculated based on a median of 10 RBC units). For PLT transfusions, independent predictors were sepsis or bacteremia (p=0.01, estimate: 1.40,95% Cl, (1.079-1.83)), ICU stay (p&lt;0.01, estimate-1.80, 95% Cl, (1.18-2.75)), and lower ELN risk (p&lt;0.05, estimate: 0.73, 95% Cl (0.54-0.99)). PLT transfusions have an acquisition cost of approximately $700 per pathogen-inactivated unit. The average predicted PLT.costs for patients with sepsis or bacteremia, ICU admission, or with adverse ELN risk, are $1955/patient, $3930/patient and $1313/patient respectively higher, compared to those without each event or risk factor (calculated based on a median of 7 PLT units).
</v>
      </c>
      <c r="O20" s="150" t="s">
        <v>52</v>
      </c>
    </row>
    <row r="21" spans="1:15" ht="78" customHeight="1">
      <c r="A21" s="126" t="s">
        <v>294</v>
      </c>
      <c r="B21" s="148" t="s">
        <v>2026</v>
      </c>
      <c r="C21" s="126" t="s">
        <v>299</v>
      </c>
      <c r="D21" s="152" t="s">
        <v>300</v>
      </c>
      <c r="E21" s="151" t="s">
        <v>301</v>
      </c>
      <c r="F21" s="151" t="s">
        <v>302</v>
      </c>
      <c r="G21" s="151" t="s">
        <v>303</v>
      </c>
      <c r="H21" s="308" t="s">
        <v>54</v>
      </c>
      <c r="I21" s="308" t="s">
        <v>54</v>
      </c>
      <c r="J21" s="306" t="s">
        <v>54</v>
      </c>
      <c r="K21" s="306" t="s">
        <v>54</v>
      </c>
      <c r="L21" s="306" t="s">
        <v>54</v>
      </c>
      <c r="M21" s="150" t="s">
        <v>304</v>
      </c>
      <c r="N21" s="310" t="str">
        <f t="shared" si="0"/>
        <v xml:space="preserve">Patients &lt;60 years old received the most therapeutic interventions (chemotherapy, transfusion, SCT), followed by patients 60-64 and patients &gt;=65 years old. Hypomethylating agents (HMAs) were more commonly used in older patients. In patients aged &lt;60, 60-64, and &gt;=65 years treated with &gt;=1 HMA, azacitidine was given in 56.2%, 59.8%, and 55.7% of patients and decitabine was given in 50.5%, 47.1%, and 51.2%, respectively. In patients &lt;60 years who received other antineoplastic agents, tretinoin (31.2%), cytarabine (30.6%), and arsenic trioxide (22.4%) were most commonly used. Patients 60-64 years old received cytarabine (30.7%), hydroxyurea (20.5%), and tretinoin (17.3%) as most common agents. Patients &gt;=65 years old received most commonly hydroxyurea (53.4%) and cytarabine (14.3%). After AML diagnosis, patients &gt;=65 years old had half the monthly all-cause average number of inpatient days compared to patients &lt;65 years old (3.74 vs. 7.74). Differences in the number of days with outpatient services (5.64 vs. 5.27) or emergency room visits (0.22 vs. 0.10) were smaller.
</v>
      </c>
      <c r="O21" s="150" t="s">
        <v>52</v>
      </c>
    </row>
    <row r="22" spans="1:15" ht="78" customHeight="1">
      <c r="A22" s="126" t="s">
        <v>305</v>
      </c>
      <c r="B22" s="148" t="s">
        <v>2026</v>
      </c>
      <c r="C22" s="126" t="s">
        <v>306</v>
      </c>
      <c r="D22" s="152" t="s">
        <v>276</v>
      </c>
      <c r="E22" s="151" t="s">
        <v>307</v>
      </c>
      <c r="F22" s="151" t="s">
        <v>308</v>
      </c>
      <c r="G22" s="151" t="s">
        <v>309</v>
      </c>
      <c r="H22" s="308" t="s">
        <v>54</v>
      </c>
      <c r="I22" s="308" t="s">
        <v>54</v>
      </c>
      <c r="J22" s="306" t="s">
        <v>54</v>
      </c>
      <c r="K22" s="306" t="s">
        <v>54</v>
      </c>
      <c r="L22" s="306" t="s">
        <v>54</v>
      </c>
      <c r="M22" s="150" t="s">
        <v>310</v>
      </c>
      <c r="N22" s="310" t="str">
        <f t="shared" si="0"/>
        <v xml:space="preserve">The episode cost was the lowest in low intensity chemotherapy at $53,081 with 2.0 month follow-up compared to HSCT ($329,621 + 6.4 months) or high intensity chemotherapy ($198,528 + 2.1 months). Although low intensity chemotherapy patients had a relatively low hospitalization rate (35.8%), hospitalization was a major cost component at $17,764; while physician's office visit costs were $1,478 and outpatient pharmacy costs were $2,554.
</v>
      </c>
      <c r="O22" s="150" t="s">
        <v>311</v>
      </c>
    </row>
    <row r="23" spans="1:15" ht="78" customHeight="1">
      <c r="A23" s="313" t="s">
        <v>313</v>
      </c>
      <c r="B23" s="148" t="s">
        <v>2026</v>
      </c>
      <c r="C23" s="126" t="s">
        <v>314</v>
      </c>
      <c r="D23" s="152" t="s">
        <v>315</v>
      </c>
      <c r="E23" s="151" t="s">
        <v>316</v>
      </c>
      <c r="F23" s="151" t="s">
        <v>318</v>
      </c>
      <c r="G23" s="151" t="s">
        <v>319</v>
      </c>
      <c r="H23" s="308" t="s">
        <v>54</v>
      </c>
      <c r="I23" s="308" t="s">
        <v>54</v>
      </c>
      <c r="J23" s="306" t="s">
        <v>54</v>
      </c>
      <c r="K23" s="306" t="s">
        <v>54</v>
      </c>
      <c r="L23" s="306" t="s">
        <v>54</v>
      </c>
      <c r="M23" s="150" t="s">
        <v>320</v>
      </c>
      <c r="N23" s="310" t="str">
        <f t="shared" si="0"/>
        <v xml:space="preserve">As 1L treatment, majority of patients received AZA (n=422, 53.8%) followed by DEC (n=337, 43.0%) and LDAC (n=26, 3.3%) and the mean (median; range) duration of treatment was 5.6 (3.7; 0.03-52.0) month. Prior to receiving 1L treatment, 48.0% (377/785) of patients required transfusion of either platelets and/or RBC. During 1L treatment, 73.3% (575) of patients received transfusion support with a mean (median; range) of 8.5 (5.0; 1-181) transfusions of either platelets and/or RBC. Among 785 patients during 1L treatment, the mean (median; range) number of hospitalizations was 0.91 (1.0; 0-8). A total of 53.1% (417) had  1 hospitalization; the mean (median; range) length of an inpatient stay was 10.9 (7.0; 1-97) days for these patients; and 49.4% (206), 75.1% (313), and 87.3% (364) of patients were admitted within 30, 60, 90 days of tx-index, respectively.
</v>
      </c>
      <c r="O23" s="150" t="s">
        <v>321</v>
      </c>
    </row>
    <row r="24" spans="1:15" ht="78" customHeight="1">
      <c r="A24" s="316" t="s">
        <v>323</v>
      </c>
      <c r="B24" s="148" t="s">
        <v>2026</v>
      </c>
      <c r="C24" s="126" t="s">
        <v>326</v>
      </c>
      <c r="D24" s="152" t="s">
        <v>329</v>
      </c>
      <c r="E24" s="151" t="s">
        <v>331</v>
      </c>
      <c r="F24" s="151" t="s">
        <v>333</v>
      </c>
      <c r="G24" s="151" t="s">
        <v>334</v>
      </c>
      <c r="H24" s="308" t="s">
        <v>54</v>
      </c>
      <c r="I24" s="308" t="s">
        <v>54</v>
      </c>
      <c r="J24" s="306" t="s">
        <v>54</v>
      </c>
      <c r="K24" s="306" t="s">
        <v>54</v>
      </c>
      <c r="L24" s="306" t="s">
        <v>54</v>
      </c>
      <c r="M24" s="150" t="s">
        <v>335</v>
      </c>
      <c r="N24" s="310" t="str">
        <f t="shared" si="0"/>
        <v xml:space="preserve">The mean (SD) and median (range) total duration of hospitalization were 36.17 (16.46) and 33.0 (1.0-90.0) days in the 7+3 cytarabine-daunorubicin arm (n = 151). The mean (SD) andmedian (range) duration of hospitalization PPY were 118.97 (109.54) and 71.57 (1.2-356.9) days in the 7+3 cytarabine-daunorubicin arm. The mean (SD) and median (range) total duration of ICU stays were 1.45 (3.46) and 0 (0-17.0) days in the 7+3 cytarabine-daunorubicin arm. In 7+3 arms, the mean and median numbers were 9.83 and 8.0 for of administration of platelets; 8.00 and 6.0 for packed red bloods cells; 23.72 and 19.0 for anti-infectives; and 1.05 and 1.0 for CSF. In 7+3 arms, the mean and median numbers of PPY were 40.87 and 18.65 for administration of platelets; 30.83 and 17.90 for packed red blood cells 97.56 and 32.50 for anti-infectives; and 0.89 and 0 for CSF.
</v>
      </c>
      <c r="O24" s="150" t="s">
        <v>336</v>
      </c>
    </row>
    <row r="25" spans="1:15" ht="78" customHeight="1">
      <c r="A25" s="313" t="s">
        <v>337</v>
      </c>
      <c r="B25" s="148" t="s">
        <v>2026</v>
      </c>
      <c r="C25" s="126" t="s">
        <v>338</v>
      </c>
      <c r="D25" s="152" t="s">
        <v>339</v>
      </c>
      <c r="E25" s="151" t="s">
        <v>340</v>
      </c>
      <c r="F25" s="151" t="s">
        <v>341</v>
      </c>
      <c r="G25" s="151" t="s">
        <v>342</v>
      </c>
      <c r="H25" s="308" t="s">
        <v>54</v>
      </c>
      <c r="I25" s="308" t="s">
        <v>54</v>
      </c>
      <c r="J25" s="306" t="s">
        <v>54</v>
      </c>
      <c r="K25" s="306" t="s">
        <v>54</v>
      </c>
      <c r="L25" s="306" t="s">
        <v>54</v>
      </c>
      <c r="M25" s="150" t="s">
        <v>343</v>
      </c>
      <c r="N25" s="310" t="str">
        <f t="shared" si="0"/>
        <v xml:space="preserve">Mean total costs treated AML that is to therapy-related or MDS-related changes were $352,606 vs untreated $80,536 patients. Among treated patients, mean total costs were $179,863 and $172,743 during months 1-6 (mean 4.4 months) and months &gt;6 (mean 12.3 months), respectively. Among treated patients, 26% had HCT; mean costs of CT during months 1-6 were $75,137 (inpatient $54,745), representing 21% of total cost for treated patients. Overall AML population's mean total costs were $173,863 and $212,214 in months 1-6 and &gt;6, respectively, in treated patients and $79,382 in untreated patients.
</v>
      </c>
      <c r="O25" s="150" t="s">
        <v>52</v>
      </c>
    </row>
    <row r="26" spans="1:15" s="160" customFormat="1" ht="78" customHeight="1">
      <c r="A26" s="148" t="s">
        <v>347</v>
      </c>
      <c r="B26" s="148" t="s">
        <v>2026</v>
      </c>
      <c r="C26" s="153" t="s">
        <v>348</v>
      </c>
      <c r="D26" s="162" t="s">
        <v>349</v>
      </c>
      <c r="E26" s="147" t="s">
        <v>350</v>
      </c>
      <c r="F26" s="147" t="s">
        <v>351</v>
      </c>
      <c r="G26" s="147" t="s">
        <v>352</v>
      </c>
      <c r="H26" s="307" t="s">
        <v>54</v>
      </c>
      <c r="I26" s="307" t="s">
        <v>54</v>
      </c>
      <c r="J26" s="315" t="s">
        <v>54</v>
      </c>
      <c r="K26" s="315" t="s">
        <v>54</v>
      </c>
      <c r="L26" s="315" t="s">
        <v>54</v>
      </c>
      <c r="M26" s="147" t="s">
        <v>353</v>
      </c>
      <c r="N26" s="310" t="str">
        <f t="shared" si="0"/>
        <v xml:space="preserve">Cost per cycle of chemotherapy in INR was 24,200 for decitabine and 1,600 for low-dose cytarabine group 
Median of total cost of therapy was 96,800 for decitabine and 6,400 for low-dose cytarabine group
</v>
      </c>
      <c r="O26" s="130" t="s">
        <v>354</v>
      </c>
    </row>
    <row r="27" spans="1:15" s="160" customFormat="1" ht="78" customHeight="1">
      <c r="A27" s="148" t="s">
        <v>356</v>
      </c>
      <c r="B27" s="148" t="s">
        <v>2026</v>
      </c>
      <c r="C27" s="149" t="s">
        <v>357</v>
      </c>
      <c r="D27" s="162" t="s">
        <v>359</v>
      </c>
      <c r="E27" s="147" t="s">
        <v>360</v>
      </c>
      <c r="F27" s="147" t="s">
        <v>361</v>
      </c>
      <c r="G27" s="147" t="s">
        <v>362</v>
      </c>
      <c r="H27" s="307" t="s">
        <v>54</v>
      </c>
      <c r="I27" s="307" t="s">
        <v>54</v>
      </c>
      <c r="J27" s="315" t="s">
        <v>54</v>
      </c>
      <c r="K27" s="315" t="s">
        <v>54</v>
      </c>
      <c r="L27" s="315" t="s">
        <v>54</v>
      </c>
      <c r="M27" s="130" t="s">
        <v>363</v>
      </c>
      <c r="N27" s="310" t="str">
        <f t="shared" si="0"/>
        <v xml:space="preserve">Hospital admission for blood transfusion (LDAC vs. LDAC + Doxorubicin):  27 (60%)  vs. 8 (17.7%)
Significantly shorter admission duration for transfusion in favor of arm 2 P&lt;0.001
</v>
      </c>
      <c r="O27" s="130" t="s">
        <v>358</v>
      </c>
    </row>
    <row r="28" spans="1:15" s="160" customFormat="1" ht="78" customHeight="1">
      <c r="A28" s="148" t="s">
        <v>364</v>
      </c>
      <c r="B28" s="148" t="s">
        <v>2026</v>
      </c>
      <c r="C28" s="149" t="s">
        <v>365</v>
      </c>
      <c r="D28" s="162" t="s">
        <v>366</v>
      </c>
      <c r="E28" s="147" t="s">
        <v>367</v>
      </c>
      <c r="F28" s="147" t="s">
        <v>368</v>
      </c>
      <c r="G28" s="147" t="s">
        <v>369</v>
      </c>
      <c r="H28" s="307" t="s">
        <v>54</v>
      </c>
      <c r="I28" s="307" t="s">
        <v>54</v>
      </c>
      <c r="J28" s="315" t="s">
        <v>54</v>
      </c>
      <c r="K28" s="315" t="s">
        <v>54</v>
      </c>
      <c r="L28" s="315" t="s">
        <v>54</v>
      </c>
      <c r="M28" s="130" t="s">
        <v>370</v>
      </c>
      <c r="N28" s="310" t="str">
        <f t="shared" si="0"/>
        <v xml:space="preserve">Platelet Transfusion-independence achieved (DEC vs. TC): 26 (31%) vs. 11 (13%) p=0.0069
RCT Transfusion-independence achieved (DEC vs. TC): 44 (26%) vs. 21 (13%) p=0.0026
Number of hospitalized patients for transfusion (DEC vs. TC): 191 vs. 182
Median % of hospital nights for transfusion (DEC vs. TC): 34% vs. 39%
Number of hospitalized patients for adverse event (DEC vs. TC): 132 vs. 100
Median % of hospital nights for adverse event (DEC vs. TC): 17.5% vs. 20.0%
</v>
      </c>
      <c r="O28" s="130" t="s">
        <v>371</v>
      </c>
    </row>
    <row r="29" spans="1:15" s="160" customFormat="1" ht="78" customHeight="1">
      <c r="A29" s="148" t="s">
        <v>372</v>
      </c>
      <c r="B29" s="148" t="s">
        <v>2026</v>
      </c>
      <c r="C29" s="164" t="s">
        <v>373</v>
      </c>
      <c r="D29" s="165" t="s">
        <v>374</v>
      </c>
      <c r="E29" s="164" t="s">
        <v>375</v>
      </c>
      <c r="F29" s="164" t="s">
        <v>376</v>
      </c>
      <c r="G29" s="130" t="s">
        <v>377</v>
      </c>
      <c r="H29" s="307" t="s">
        <v>54</v>
      </c>
      <c r="I29" s="307" t="s">
        <v>54</v>
      </c>
      <c r="J29" s="315" t="s">
        <v>54</v>
      </c>
      <c r="K29" s="315" t="s">
        <v>54</v>
      </c>
      <c r="L29" s="315" t="s">
        <v>54</v>
      </c>
      <c r="M29" s="130" t="s">
        <v>378</v>
      </c>
      <c r="N29" s="310" t="str">
        <f t="shared" si="0"/>
        <v xml:space="preserve">SCT (highest direct costs): $177,187 and $352,682 for UK and US, respectively (transplantation 80% in UK and hospitalization 51% in US)
IT: $59,426 and $324,502 for UK and US (hospitalization cost 74% in UK and 93% in US)
LIT: $45,854 and $57,039 for UK and US (medication 86% in UK and 83% in US)
BSC only: $5837 and $14,014 for UK and US (transfusion 70% in UK and medication 55% in US)
Overall, treatment in the US is more expensive than treatment in the UK
</v>
      </c>
      <c r="O29" s="130" t="s">
        <v>379</v>
      </c>
    </row>
    <row r="30" spans="1:15" s="160" customFormat="1" ht="78" customHeight="1">
      <c r="A30" s="148" t="s">
        <v>380</v>
      </c>
      <c r="B30" s="148" t="s">
        <v>2026</v>
      </c>
      <c r="C30" s="149" t="s">
        <v>381</v>
      </c>
      <c r="D30" s="162" t="s">
        <v>382</v>
      </c>
      <c r="E30" s="147" t="s">
        <v>383</v>
      </c>
      <c r="F30" s="147" t="s">
        <v>384</v>
      </c>
      <c r="G30" s="147" t="s">
        <v>385</v>
      </c>
      <c r="H30" s="307" t="s">
        <v>54</v>
      </c>
      <c r="I30" s="307" t="s">
        <v>54</v>
      </c>
      <c r="J30" s="315" t="s">
        <v>54</v>
      </c>
      <c r="K30" s="315" t="s">
        <v>54</v>
      </c>
      <c r="L30" s="315" t="s">
        <v>54</v>
      </c>
      <c r="M30" s="130" t="s">
        <v>386</v>
      </c>
      <c r="N30" s="310" t="str">
        <f t="shared" si="0"/>
        <v xml:space="preserve">Median number (range) of transfusions (IC vs. LC vs. BSC): packed red blood cell (PRBC) 22 (0–116) vs. 15 (0–136) vs. 7.5 (0–101) /  platelet concentrate (PC) 18 (0–116) vs. 5 (0–208) vs. 2 (0–56) / fresh frozen plasma (FFP) 0 (0–22) vs. 0 (0–6) vs. 0 (0–14) 
Mean blood product transfusions cost (IC vs. LC vs. BSC): EUR €7228.72 vs. EUR €5458.34 vs. EUR €2586.07
</v>
      </c>
      <c r="O30" s="130" t="s">
        <v>387</v>
      </c>
    </row>
    <row r="31" spans="1:15" s="160" customFormat="1" ht="78" customHeight="1">
      <c r="A31" s="148" t="s">
        <v>388</v>
      </c>
      <c r="B31" s="148" t="s">
        <v>2026</v>
      </c>
      <c r="C31" s="149" t="s">
        <v>389</v>
      </c>
      <c r="D31" s="162" t="s">
        <v>155</v>
      </c>
      <c r="E31" s="147" t="s">
        <v>390</v>
      </c>
      <c r="F31" s="147" t="s">
        <v>391</v>
      </c>
      <c r="G31" s="147" t="s">
        <v>392</v>
      </c>
      <c r="H31" s="307" t="s">
        <v>54</v>
      </c>
      <c r="I31" s="307" t="s">
        <v>54</v>
      </c>
      <c r="J31" s="315" t="s">
        <v>54</v>
      </c>
      <c r="K31" s="315" t="s">
        <v>54</v>
      </c>
      <c r="L31" s="315" t="s">
        <v>54</v>
      </c>
      <c r="M31" s="130" t="s">
        <v>393</v>
      </c>
      <c r="N31" s="310" t="str">
        <f t="shared" si="0"/>
        <v xml:space="preserve">Total number of inpatient days (Intensive vs. Non-intensive vs. Supportive): 96 vs. 40 vs. 24
</v>
      </c>
      <c r="O31" s="130" t="s">
        <v>394</v>
      </c>
    </row>
    <row r="32" spans="1:15" ht="78" customHeight="1">
      <c r="A32" s="126" t="s">
        <v>395</v>
      </c>
      <c r="B32" s="148" t="s">
        <v>2026</v>
      </c>
      <c r="C32" s="126" t="s">
        <v>396</v>
      </c>
      <c r="D32" s="151" t="s">
        <v>397</v>
      </c>
      <c r="E32" s="151" t="s">
        <v>398</v>
      </c>
      <c r="F32" s="151" t="s">
        <v>399</v>
      </c>
      <c r="G32" s="151" t="s">
        <v>400</v>
      </c>
      <c r="H32" s="308" t="s">
        <v>54</v>
      </c>
      <c r="I32" s="308" t="s">
        <v>54</v>
      </c>
      <c r="J32" s="306" t="s">
        <v>54</v>
      </c>
      <c r="K32" s="306" t="s">
        <v>54</v>
      </c>
      <c r="L32" s="306" t="s">
        <v>54</v>
      </c>
      <c r="M32" s="150" t="s">
        <v>401</v>
      </c>
      <c r="N32" s="310" t="str">
        <f t="shared" si="0"/>
        <v xml:space="preserve">Among newly diagnosed patients &lt;65, the most common initial tx was standard-to-intermediate dose cytarabine (43.2 and 55.9% for FLT3-mutated and FLT3-wild-type), followed by hypomethylating agent (HMA)-based therapies (13.7 and 11.8% for FLT3-mutated and FLT3-wild-type). Among newly diagnosed patients &gt;=65, the most common initial tx were HMA-based therapies (36.0 and 47.2% for FLT3-mutated and FLT3-wild-type), followed by standard-to-intermediate dose cytarabine (30.1 and 30.8% for FLT3-mutated and FLT3-wild-type). 
</v>
      </c>
      <c r="O32" s="150" t="s">
        <v>402</v>
      </c>
    </row>
    <row r="33" spans="1:15" ht="78" customHeight="1">
      <c r="A33" s="126" t="s">
        <v>403</v>
      </c>
      <c r="B33" s="148" t="s">
        <v>2026</v>
      </c>
      <c r="C33" s="126" t="s">
        <v>404</v>
      </c>
      <c r="D33" s="152" t="s">
        <v>276</v>
      </c>
      <c r="E33" s="151" t="s">
        <v>405</v>
      </c>
      <c r="F33" s="151" t="s">
        <v>406</v>
      </c>
      <c r="G33" s="151" t="s">
        <v>407</v>
      </c>
      <c r="H33" s="308" t="s">
        <v>54</v>
      </c>
      <c r="I33" s="308" t="s">
        <v>54</v>
      </c>
      <c r="J33" s="306" t="s">
        <v>54</v>
      </c>
      <c r="K33" s="306" t="s">
        <v>54</v>
      </c>
      <c r="L33" s="306" t="s">
        <v>54</v>
      </c>
      <c r="M33" s="150" t="s">
        <v>408</v>
      </c>
      <c r="N33" s="310" t="str">
        <f t="shared" si="0"/>
        <v xml:space="preserve">Out of 84 patients included, 31 patients received HMAs and 53 underwent intensive (7+3 or equivalent) induction therapy and 30 patients underwent HSCT (HMA:7, Intensive induction: 23). The mean number of encounters with the healthcare system (inpatient and outpatient encounters) was not significantly different between HMA vs. intensive induction groups (27.3 days vs 34.9 days p-value: 0.48). The HMA group received a mean of 24.4 transfusions vs. 19.3 in the intensive induction group (p-value : 0.25). Differences in charges per day between groups did not vary significantly, with the HMA group averaging $1202.64 per day and the intensive induction group $1051.38 per day (p-value : 0.079). 
</v>
      </c>
      <c r="O33" s="150" t="s">
        <v>409</v>
      </c>
    </row>
    <row r="34" spans="1:15" s="160" customFormat="1" ht="78" customHeight="1">
      <c r="A34" s="148" t="s">
        <v>410</v>
      </c>
      <c r="B34" s="148" t="s">
        <v>2026</v>
      </c>
      <c r="C34" s="149" t="s">
        <v>411</v>
      </c>
      <c r="D34" s="162" t="s">
        <v>412</v>
      </c>
      <c r="E34" s="147" t="s">
        <v>413</v>
      </c>
      <c r="F34" s="147" t="s">
        <v>414</v>
      </c>
      <c r="G34" s="147" t="s">
        <v>415</v>
      </c>
      <c r="H34" s="307" t="s">
        <v>54</v>
      </c>
      <c r="I34" s="307" t="s">
        <v>54</v>
      </c>
      <c r="J34" s="315" t="s">
        <v>54</v>
      </c>
      <c r="K34" s="315" t="s">
        <v>54</v>
      </c>
      <c r="L34" s="315" t="s">
        <v>54</v>
      </c>
      <c r="M34" s="130" t="s">
        <v>416</v>
      </c>
      <c r="N34" s="310" t="str">
        <f t="shared" si="0"/>
        <v xml:space="preserve">RBC Transfusion at PC ward: 20 (61%)
Platelet Transfusion at PC ward: 20 (61%)
</v>
      </c>
      <c r="O34" s="130" t="s">
        <v>269</v>
      </c>
    </row>
    <row r="35" spans="1:15" s="163" customFormat="1" ht="78" customHeight="1">
      <c r="A35" s="148" t="s">
        <v>417</v>
      </c>
      <c r="B35" s="148" t="s">
        <v>2026</v>
      </c>
      <c r="C35" s="153" t="s">
        <v>418</v>
      </c>
      <c r="D35" s="162" t="s">
        <v>419</v>
      </c>
      <c r="E35" s="122" t="s">
        <v>54</v>
      </c>
      <c r="F35" s="151" t="s">
        <v>420</v>
      </c>
      <c r="G35" s="147" t="s">
        <v>421</v>
      </c>
      <c r="H35" s="308" t="s">
        <v>54</v>
      </c>
      <c r="I35" s="308" t="s">
        <v>54</v>
      </c>
      <c r="J35" s="315" t="s">
        <v>54</v>
      </c>
      <c r="K35" s="317" t="s">
        <v>54</v>
      </c>
      <c r="L35" s="315" t="s">
        <v>54</v>
      </c>
      <c r="M35" s="130" t="s">
        <v>422</v>
      </c>
      <c r="N35" s="310" t="str">
        <f t="shared" si="0"/>
        <v xml:space="preserve">Expected 5-year medical cost per patient: GBP £8,170 to £81,636
Mean 5-year medical cost:  GBP £41,109 for all patients / GBP £79,483 for age 18-59 / GBP £22,318 for age ≥ 60
</v>
      </c>
      <c r="O35" s="150" t="s">
        <v>423</v>
      </c>
    </row>
    <row r="36" spans="1:15" s="160" customFormat="1" ht="78" customHeight="1">
      <c r="A36" s="148" t="s">
        <v>424</v>
      </c>
      <c r="B36" s="148" t="s">
        <v>2026</v>
      </c>
      <c r="C36" s="149" t="s">
        <v>425</v>
      </c>
      <c r="D36" s="162" t="s">
        <v>276</v>
      </c>
      <c r="E36" s="147" t="s">
        <v>54</v>
      </c>
      <c r="F36" s="147" t="s">
        <v>426</v>
      </c>
      <c r="G36" s="147" t="s">
        <v>427</v>
      </c>
      <c r="H36" s="307" t="s">
        <v>54</v>
      </c>
      <c r="I36" s="307" t="s">
        <v>54</v>
      </c>
      <c r="J36" s="315" t="s">
        <v>54</v>
      </c>
      <c r="K36" s="315" t="s">
        <v>54</v>
      </c>
      <c r="L36" s="315" t="s">
        <v>54</v>
      </c>
      <c r="M36" s="130" t="s">
        <v>428</v>
      </c>
      <c r="N36" s="310" t="str">
        <f t="shared" si="0"/>
        <v xml:space="preserve">Patients with ≥1 blood transfusion (61%) received 8.9 (9.5) transfusions per month during 177 (244) days on average
Patients had a mean of 3.7 days of hospitalization, 0.2 days of hospice care, and 5.2 office visits per month
Compared to treated patients , untreated patients (32%; i.e., patients with no chemo, blood transfusion or stem cell transplant) had fewer days of postindex follow-up (106 vs. 263), more days of hospitalization (4.8 vs. 3.2), and of hospice care (0.4 vs. 0.1), and fewer office visits (3.8 vs. 5.8) per month (all P&lt;0.01).
</v>
      </c>
      <c r="O36" s="130" t="s">
        <v>429</v>
      </c>
    </row>
    <row r="37" spans="1:15" ht="78" customHeight="1">
      <c r="A37" s="311" t="s">
        <v>430</v>
      </c>
      <c r="B37" s="148" t="s">
        <v>2026</v>
      </c>
      <c r="C37" s="126" t="s">
        <v>431</v>
      </c>
      <c r="D37" s="152" t="s">
        <v>263</v>
      </c>
      <c r="E37" s="151" t="s">
        <v>52</v>
      </c>
      <c r="F37" s="151" t="s">
        <v>432</v>
      </c>
      <c r="G37" s="151" t="s">
        <v>433</v>
      </c>
      <c r="H37" s="308" t="s">
        <v>54</v>
      </c>
      <c r="I37" s="308" t="s">
        <v>54</v>
      </c>
      <c r="J37" s="306" t="s">
        <v>54</v>
      </c>
      <c r="K37" s="306" t="s">
        <v>54</v>
      </c>
      <c r="L37" s="306" t="s">
        <v>54</v>
      </c>
      <c r="M37" s="150" t="s">
        <v>434</v>
      </c>
      <c r="N37" s="310" t="str">
        <f t="shared" si="0"/>
        <v xml:space="preserve">In 2015, 12,634 admissions were identifeid as AML representing 0.146% of all hospitalizations. The mean length of stay was 13.04 days (SD: 15.76 days, Median: 6 days). While majority of the hospitalizations were in patients age &gt;60 years (55%), the length of stay was longest for children, followed by adults age 45-59. Mean (SD) length of stay by age: 0-18: 20.22 days (20.31, n=532), 18-45: 13.49 days (18.58, n=1618), 45-59: 15.15 days (16.62, n=2110) and 60+: 11.32 days (13.43, n=5216). The mean length of stay was shortest for Medicare 10.54 days (12.54), while it was similar for Medicaid and Private payers: 15.37 days (17.74) and 15.06 days (18.01), respectively. The overall mean cost was $141,407 (SD: $225,215). Mean (SD) charges by age: 0-18: $238,092 (SD: $391,443), 18-45: $155,482 (SD: $251,028), 45-59: $170,983 (SD: $247,822) and 60+: $115,216 (SD: $173,559). Similar to length of stay, the total charges were lowest for Medicare $107,913 (SD: $165,576), while charges were similar for Medicaid and Private payers: $174,545 (SD: $284,624) and $166,731 (SD: $253,656), respectively. length of stay and charges did not significantly vary by gender or race.
</v>
      </c>
      <c r="O37" s="150" t="s">
        <v>52</v>
      </c>
    </row>
    <row r="38" spans="1:15" s="161" customFormat="1" ht="82.5" customHeight="1">
      <c r="A38" s="169" t="s">
        <v>436</v>
      </c>
      <c r="B38" s="304" t="s">
        <v>435</v>
      </c>
      <c r="C38" s="149" t="s">
        <v>437</v>
      </c>
      <c r="D38" s="148" t="s">
        <v>315</v>
      </c>
      <c r="E38" s="147" t="s">
        <v>438</v>
      </c>
      <c r="F38" s="147" t="s">
        <v>439</v>
      </c>
      <c r="G38" s="147" t="s">
        <v>440</v>
      </c>
      <c r="H38" s="318" t="s">
        <v>54</v>
      </c>
      <c r="I38" s="318" t="s">
        <v>54</v>
      </c>
      <c r="J38" s="306" t="s">
        <v>54</v>
      </c>
      <c r="K38" s="306" t="s">
        <v>54</v>
      </c>
      <c r="L38" s="306" t="s">
        <v>54</v>
      </c>
      <c r="M38" s="130" t="s">
        <v>441</v>
      </c>
      <c r="N38" s="310" t="str">
        <f t="shared" si="0"/>
        <v xml:space="preserve">ITC found non-significant differences between GLAS+LDAC and VEN+LDAC for median OS [MD=-3.09 (-9.34, 3.17)] and 12-month OS [MD=-0.07 (-0.23, 0.10)], with numeric trends favoring VEN+LDAC (as shown in the Table). With full STC adjustment, PH models showed numeric but not statistical superiority of GLAS+LDAC vs VEN+LDAC for median OS [e.g., Gompertz-derived MD=0.60 (-4.43, 5.62)].
</v>
      </c>
      <c r="O38" s="130" t="s">
        <v>442</v>
      </c>
    </row>
    <row r="39" spans="1:15" ht="78" customHeight="1">
      <c r="A39" s="124" t="s">
        <v>443</v>
      </c>
      <c r="B39" s="305" t="s">
        <v>435</v>
      </c>
      <c r="C39" s="124" t="s">
        <v>444</v>
      </c>
      <c r="D39" s="152" t="s">
        <v>339</v>
      </c>
      <c r="E39" s="151" t="s">
        <v>445</v>
      </c>
      <c r="F39" s="151" t="s">
        <v>439</v>
      </c>
      <c r="G39" s="151" t="s">
        <v>446</v>
      </c>
      <c r="H39" s="308" t="s">
        <v>54</v>
      </c>
      <c r="I39" s="308" t="s">
        <v>54</v>
      </c>
      <c r="J39" s="306" t="s">
        <v>54</v>
      </c>
      <c r="K39" s="306" t="s">
        <v>54</v>
      </c>
      <c r="L39" s="306" t="s">
        <v>54</v>
      </c>
      <c r="M39" s="150" t="s">
        <v>447</v>
      </c>
      <c r="N39" s="310" t="str">
        <f t="shared" si="0"/>
        <v xml:space="preserve">In the ITC, with LDAC as the common comparator, GLAS+LDAC compared favorably with indirect HR for OS vs. AZA and DEC being 0.51 (0.35-0.75) and 0.57 (0.40-0.80), respectively. Using ITC, treatment with GLAS+LDAC showed significantly better OS HR than AZA and DEC in previously untreated NIC AML patients.
</v>
      </c>
      <c r="O39" s="150" t="s">
        <v>448</v>
      </c>
    </row>
    <row r="40" spans="1:15" ht="78" customHeight="1">
      <c r="A40" s="124" t="s">
        <v>449</v>
      </c>
      <c r="B40" s="305" t="s">
        <v>435</v>
      </c>
      <c r="C40" s="124" t="s">
        <v>450</v>
      </c>
      <c r="D40" s="152" t="s">
        <v>339</v>
      </c>
      <c r="E40" s="151" t="s">
        <v>445</v>
      </c>
      <c r="F40" s="151" t="s">
        <v>439</v>
      </c>
      <c r="G40" s="151" t="s">
        <v>446</v>
      </c>
      <c r="H40" s="308" t="s">
        <v>54</v>
      </c>
      <c r="I40" s="308" t="s">
        <v>54</v>
      </c>
      <c r="J40" s="306" t="s">
        <v>54</v>
      </c>
      <c r="K40" s="306" t="s">
        <v>54</v>
      </c>
      <c r="L40" s="306" t="s">
        <v>54</v>
      </c>
      <c r="M40" s="150" t="s">
        <v>451</v>
      </c>
      <c r="N40" s="310" t="str">
        <f t="shared" si="0"/>
        <v xml:space="preserve">The intent-to-treat (ITT) OS Cox model for GLAS+LDAC vs. LDAC demonstrated OS HR=0.463 (0.299-0.717). The covariate adjustment lead to OS HR=0.443 (0.275-0.712). ITC of GLAS+LDAC vs. AZA yielded OS HRs of 0.514 (0.310-0.852) and 0.492 (0.287-0.843) for ITT and covariate adjusted OS, respectively. ITC of GLAS+LDAC vs. DEC yielded OS HRs of 0.564 (0.351-0.908) and 0.540 (0.324-0.900). The results of the covariate adjusted ITC confirmed the robustness of the ITT analysis and demonstrated statistically significant improvements in OS for GLAS+LDAC as compared to AZA and DEC.
</v>
      </c>
      <c r="O40" s="150" t="s">
        <v>452</v>
      </c>
    </row>
    <row r="41" spans="1:15" ht="78" customHeight="1">
      <c r="A41" s="311" t="s">
        <v>453</v>
      </c>
      <c r="B41" s="311" t="s">
        <v>435</v>
      </c>
      <c r="C41" s="124" t="s">
        <v>454</v>
      </c>
      <c r="D41" s="152" t="s">
        <v>339</v>
      </c>
      <c r="E41" s="151" t="s">
        <v>445</v>
      </c>
      <c r="F41" s="151" t="s">
        <v>456</v>
      </c>
      <c r="G41" s="151" t="s">
        <v>457</v>
      </c>
      <c r="H41" s="308" t="s">
        <v>54</v>
      </c>
      <c r="I41" s="308" t="s">
        <v>54</v>
      </c>
      <c r="J41" s="306" t="s">
        <v>54</v>
      </c>
      <c r="K41" s="306" t="s">
        <v>54</v>
      </c>
      <c r="L41" s="306" t="s">
        <v>54</v>
      </c>
      <c r="M41" s="150" t="s">
        <v>458</v>
      </c>
      <c r="N41" s="310" t="str">
        <f t="shared" si="0"/>
        <v xml:space="preserve">Standard ITC demonstrated GLAS+LDAC superiority over AZA (HR= 0.57; 95%CI: 0.35- 0.91). Using MAIC, propensity score weighting reduced effective sample size to 32 (72% loss). MAIC estimated improved OS in favor of GLAS+LDAC, but did not reach statistical significance (HR= 0.87; 95%CI: 0.48-1.58). In STC, adjusting for key population covariates found a similar yet stronger, more precise survival effect (HR= 0.47; 95%CI: 0.26-0.85) without reducing sample size. While standard ITC and STC preserve the sample, only STC enables population-specific interpretations. In MAIC, significant results and interpretations are severely limited by sample size loss.
</v>
      </c>
      <c r="O41" s="150" t="s">
        <v>459</v>
      </c>
    </row>
    <row r="42" spans="1:15" ht="78" customHeight="1">
      <c r="A42" s="313" t="s">
        <v>460</v>
      </c>
      <c r="B42" s="313" t="s">
        <v>2025</v>
      </c>
      <c r="C42" s="153" t="s">
        <v>461</v>
      </c>
      <c r="D42" s="152" t="s">
        <v>329</v>
      </c>
      <c r="E42" s="151" t="s">
        <v>331</v>
      </c>
      <c r="F42" s="151" t="s">
        <v>462</v>
      </c>
      <c r="G42" s="151" t="s">
        <v>463</v>
      </c>
      <c r="H42" s="308" t="s">
        <v>54</v>
      </c>
      <c r="I42" s="308" t="s">
        <v>54</v>
      </c>
      <c r="J42" s="306" t="s">
        <v>54</v>
      </c>
      <c r="K42" s="306" t="s">
        <v>54</v>
      </c>
      <c r="L42" s="306" t="s">
        <v>54</v>
      </c>
      <c r="M42" s="150" t="s">
        <v>464</v>
      </c>
      <c r="N42" s="310" t="str">
        <f t="shared" si="0"/>
        <v xml:space="preserve">For every 6 patients treated with CPX-351, 1 death would be prevented over 2 years compared with 7+3 (1/(0.84 – 0.67)).
</v>
      </c>
      <c r="O42" s="150" t="s">
        <v>52</v>
      </c>
    </row>
    <row r="43" spans="1:15" ht="78" customHeight="1">
      <c r="A43" s="319" t="s">
        <v>465</v>
      </c>
      <c r="B43" s="320" t="s">
        <v>2025</v>
      </c>
      <c r="C43" s="126" t="s">
        <v>466</v>
      </c>
      <c r="D43" s="152" t="s">
        <v>467</v>
      </c>
      <c r="E43" s="151" t="s">
        <v>468</v>
      </c>
      <c r="F43" s="151" t="s">
        <v>469</v>
      </c>
      <c r="G43" s="151" t="s">
        <v>470</v>
      </c>
      <c r="H43" s="308" t="s">
        <v>54</v>
      </c>
      <c r="I43" s="308" t="s">
        <v>54</v>
      </c>
      <c r="J43" s="306" t="s">
        <v>54</v>
      </c>
      <c r="K43" s="306" t="s">
        <v>54</v>
      </c>
      <c r="L43" s="306" t="s">
        <v>54</v>
      </c>
      <c r="M43" s="150" t="s">
        <v>471</v>
      </c>
      <c r="N43" s="310" t="str">
        <f t="shared" si="0"/>
        <v xml:space="preserve">There were no statistical differences regarding the frequency of hospital admissions, days spent in hospital or the proportion of patients receiving chemotherapy within the 14 last days of life. However, more AML/MDS patients were admitted into hospital in their last month of life (86 vs 44%, p&lt;0.001). More AML patients were transfusion dependent and received more red blood cells or platelet transfusion in their last 2 months of life. (75% vs 3%, p&lt;0.0001.) Referral to PC Unit was documented in 19% AML/MDS compared to 48% lung cancer patients (p&lt;0.001). In 1L, 21% AML-MDS were treated with chemotherapy, 64% with hypomethylating agents and 15% with supportive care exclusively. 13 of 77 patients received second line therapy for progression or relapse after first response. 10 AML patients received chemotherapy and 3 hypomethylating agents.
</v>
      </c>
      <c r="O43" s="150" t="s">
        <v>52</v>
      </c>
    </row>
    <row r="44" spans="1:15" ht="78" customHeight="1">
      <c r="A44" s="311" t="s">
        <v>472</v>
      </c>
      <c r="B44" s="311" t="s">
        <v>2025</v>
      </c>
      <c r="C44" s="153" t="s">
        <v>473</v>
      </c>
      <c r="D44" s="152" t="s">
        <v>252</v>
      </c>
      <c r="E44" s="151" t="s">
        <v>52</v>
      </c>
      <c r="F44" s="151" t="s">
        <v>474</v>
      </c>
      <c r="G44" s="151" t="s">
        <v>475</v>
      </c>
      <c r="H44" s="308" t="s">
        <v>54</v>
      </c>
      <c r="I44" s="308" t="s">
        <v>54</v>
      </c>
      <c r="J44" s="306" t="s">
        <v>54</v>
      </c>
      <c r="K44" s="306" t="s">
        <v>54</v>
      </c>
      <c r="L44" s="306" t="s">
        <v>54</v>
      </c>
      <c r="M44" s="151" t="s">
        <v>476</v>
      </c>
      <c r="N44" s="310" t="str">
        <f t="shared" si="0"/>
        <v xml:space="preserve">Of the 10 identified blood cancer appraisals, full wastage was reported in base case of 5 submissions, no wastage in 3. Two submissions did not report drug wastage.
</v>
      </c>
      <c r="O44" s="151" t="s">
        <v>52</v>
      </c>
    </row>
    <row r="45" spans="1:15" ht="78" customHeight="1">
      <c r="A45" s="159" t="s">
        <v>477</v>
      </c>
      <c r="B45" s="305" t="s">
        <v>2025</v>
      </c>
      <c r="C45" s="158" t="s">
        <v>478</v>
      </c>
      <c r="D45" s="152" t="s">
        <v>198</v>
      </c>
      <c r="E45" s="151" t="s">
        <v>52</v>
      </c>
      <c r="F45" s="151" t="s">
        <v>479</v>
      </c>
      <c r="G45" s="151" t="s">
        <v>480</v>
      </c>
      <c r="H45" s="308" t="s">
        <v>54</v>
      </c>
      <c r="I45" s="308" t="s">
        <v>54</v>
      </c>
      <c r="J45" s="306" t="s">
        <v>54</v>
      </c>
      <c r="K45" s="306" t="s">
        <v>54</v>
      </c>
      <c r="L45" s="306" t="s">
        <v>54</v>
      </c>
      <c r="M45" s="151" t="s">
        <v>481</v>
      </c>
      <c r="N45" s="310" t="str">
        <f t="shared" si="0"/>
        <v xml:space="preserve">Eight health states were developed and clinically validated, including treatment with chemotherapy, consolidation therapy, transplant, graft-vs-host disease (GvHD), remission, relapse, refractory, and functionally cured. Mean TTO preference values (n = 120), ranked from lowest (worst health state) to highest (best health state) were as follows: refractory − 0.11 (− 0.21 to − 0.01), relapse 0.10 (0.00–0.20), transplant 0.28 (0.20–0.37), treatment with chemotherapy 0.36 (0.28–0.43), GvHD 0.43 (0.36–0.50), consolidation 0.46 (0.40–0.53), remission 0.62 (0.57–0.67), and functionally cured 0.76 (0.72–0.79).
</v>
      </c>
      <c r="O45" s="151" t="s">
        <v>52</v>
      </c>
    </row>
    <row r="47" spans="1:15" ht="15.75" customHeight="1">
      <c r="H47" s="146"/>
    </row>
    <row r="60" spans="11:11" ht="15.75" customHeight="1">
      <c r="K60" s="145"/>
    </row>
  </sheetData>
  <autoFilter ref="A1:L43" xr:uid="{6C0CEDAC-3840-4062-A984-1767E690542E}"/>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E2103-4F3F-4272-BAC0-C69576AD5CDF}">
  <sheetPr>
    <tabColor rgb="FF4B277B"/>
  </sheetPr>
  <dimension ref="A1:P29"/>
  <sheetViews>
    <sheetView showGridLines="0" zoomScale="70" zoomScaleNormal="70" workbookViewId="0">
      <pane ySplit="4" topLeftCell="A5" activePane="bottomLeft" state="frozen"/>
      <selection activeCell="BJ9" sqref="BJ9"/>
      <selection pane="bottomLeft" activeCell="N1" sqref="A1:N1048576"/>
    </sheetView>
  </sheetViews>
  <sheetFormatPr defaultColWidth="8.75" defaultRowHeight="15.75"/>
  <cols>
    <col min="1" max="1" width="21.75" style="117" bestFit="1" customWidth="1"/>
    <col min="2" max="2" width="21.75" style="117" hidden="1" customWidth="1"/>
    <col min="3" max="3" width="42.25" style="116" hidden="1" customWidth="1"/>
    <col min="4" max="4" width="35.25" style="116" hidden="1" customWidth="1"/>
    <col min="5" max="5" width="20.5" style="116" hidden="1" customWidth="1"/>
    <col min="6" max="6" width="43.25" style="116" hidden="1" customWidth="1"/>
    <col min="7" max="7" width="36.75" style="116" hidden="1" customWidth="1"/>
    <col min="8" max="8" width="20.75" style="116" hidden="1" customWidth="1"/>
    <col min="9" max="9" width="22.25" style="295" hidden="1" customWidth="1"/>
    <col min="10" max="10" width="16.25" style="116" hidden="1" customWidth="1"/>
    <col min="11" max="12" width="26.25" style="295" hidden="1" customWidth="1"/>
    <col min="13" max="13" width="30.5" style="116" hidden="1" customWidth="1"/>
    <col min="14" max="14" width="152.25" style="116" customWidth="1"/>
    <col min="15" max="15" width="21.75" style="116" customWidth="1"/>
    <col min="16" max="16384" width="8.75" style="116"/>
  </cols>
  <sheetData>
    <row r="1" spans="1:16" ht="46.15" customHeight="1">
      <c r="A1" s="144" t="s">
        <v>0</v>
      </c>
      <c r="B1" s="293"/>
      <c r="C1" s="143"/>
      <c r="D1" s="143"/>
      <c r="E1" s="143"/>
      <c r="F1" s="143"/>
      <c r="G1" s="143"/>
      <c r="H1" s="302"/>
      <c r="I1" s="302"/>
      <c r="J1" s="302"/>
      <c r="K1" s="302"/>
      <c r="L1" s="302"/>
      <c r="M1" s="302"/>
      <c r="N1" s="303"/>
      <c r="O1" s="301"/>
      <c r="P1" s="142"/>
    </row>
    <row r="2" spans="1:16" s="4" customFormat="1" ht="15" customHeight="1">
      <c r="A2" s="141"/>
      <c r="B2" s="294"/>
      <c r="C2" s="106"/>
      <c r="D2" s="106"/>
      <c r="E2" s="106"/>
      <c r="F2" s="106"/>
      <c r="G2" s="106"/>
      <c r="H2" s="106"/>
      <c r="I2" s="106"/>
      <c r="J2" s="106"/>
      <c r="K2" s="106"/>
      <c r="L2" s="106"/>
      <c r="M2" s="106"/>
      <c r="N2" s="106"/>
      <c r="O2" s="106"/>
      <c r="P2" s="140"/>
    </row>
    <row r="3" spans="1:16" s="138" customFormat="1" ht="25.15" customHeight="1">
      <c r="A3" s="582" t="s">
        <v>1</v>
      </c>
      <c r="B3" s="583"/>
      <c r="C3" s="583"/>
      <c r="D3" s="583"/>
      <c r="E3" s="583"/>
      <c r="F3" s="583"/>
      <c r="G3" s="584"/>
      <c r="H3" s="582" t="s">
        <v>2019</v>
      </c>
      <c r="I3" s="584"/>
      <c r="J3" s="582" t="s">
        <v>2018</v>
      </c>
      <c r="K3" s="584"/>
      <c r="L3" s="256"/>
      <c r="M3" s="582" t="s">
        <v>2017</v>
      </c>
      <c r="N3" s="583"/>
      <c r="O3" s="584"/>
      <c r="P3" s="139"/>
    </row>
    <row r="4" spans="1:16" s="131" customFormat="1" ht="47.25">
      <c r="A4" s="137" t="s">
        <v>2</v>
      </c>
      <c r="B4" s="137"/>
      <c r="C4" s="137" t="s">
        <v>3</v>
      </c>
      <c r="D4" s="137" t="s">
        <v>4</v>
      </c>
      <c r="E4" s="137" t="s">
        <v>5</v>
      </c>
      <c r="F4" s="137" t="s">
        <v>6</v>
      </c>
      <c r="G4" s="137" t="s">
        <v>7</v>
      </c>
      <c r="H4" s="168" t="s">
        <v>2016</v>
      </c>
      <c r="I4" s="137" t="s">
        <v>2015</v>
      </c>
      <c r="J4" s="168" t="s">
        <v>2014</v>
      </c>
      <c r="K4" s="137" t="s">
        <v>322</v>
      </c>
      <c r="L4" s="137"/>
      <c r="M4" s="168" t="s">
        <v>324</v>
      </c>
      <c r="N4" s="168"/>
      <c r="O4" s="168" t="s">
        <v>2013</v>
      </c>
      <c r="P4" s="132"/>
    </row>
    <row r="5" spans="1:16" s="131" customFormat="1" ht="79.900000000000006" customHeight="1">
      <c r="A5" s="136" t="s">
        <v>1932</v>
      </c>
      <c r="B5" s="136"/>
      <c r="C5" s="135" t="s">
        <v>1931</v>
      </c>
      <c r="D5" s="134" t="s">
        <v>1930</v>
      </c>
      <c r="E5" s="134" t="s">
        <v>1929</v>
      </c>
      <c r="F5" s="134" t="s">
        <v>1921</v>
      </c>
      <c r="G5" s="133" t="s">
        <v>1928</v>
      </c>
      <c r="L5" s="299" t="str">
        <f>K5&amp;"
***"</f>
        <v xml:space="preserve">
***</v>
      </c>
      <c r="M5" s="131" t="s">
        <v>32</v>
      </c>
      <c r="N5" s="299" t="str">
        <f>M5&amp;"
***"</f>
        <v xml:space="preserve"> 
***</v>
      </c>
      <c r="P5" s="132"/>
    </row>
    <row r="6" spans="1:16" s="131" customFormat="1" ht="79.900000000000006" customHeight="1">
      <c r="A6" s="128" t="s">
        <v>8</v>
      </c>
      <c r="B6" s="128" t="s">
        <v>8</v>
      </c>
      <c r="C6" s="127" t="s">
        <v>9</v>
      </c>
      <c r="D6" s="129" t="s">
        <v>10</v>
      </c>
      <c r="E6" s="129" t="s">
        <v>11</v>
      </c>
      <c r="F6" s="129" t="s">
        <v>12</v>
      </c>
      <c r="G6" s="122" t="s">
        <v>13</v>
      </c>
      <c r="H6" s="297" t="s">
        <v>52</v>
      </c>
      <c r="I6" s="299" t="s">
        <v>52</v>
      </c>
      <c r="J6" s="297" t="s">
        <v>1996</v>
      </c>
      <c r="K6" s="299" t="s">
        <v>2012</v>
      </c>
      <c r="L6" s="299" t="str">
        <f>K6&amp;"
***"</f>
        <v>157 AZA patients and 134 CCR patients were evaluable for HRQL. AZA or CCR showed general improvement in the 4 relevant domains. No HRQoL detriment was seen with AZA or CCR at the group level during treatment. "Few" statistically significant (p&lt;0.05). "Fewer" met the MID threshold. CCR achieved meaningful improvement in Fatigue (cycles 7, 9) and Global Health Status/QoL (cycle 9). Patients receiving AZA achieved meaningful improvement in Fatigue (cycle 9). Scores varied substantially among individual patients in both treatment groups.
***</v>
      </c>
      <c r="M6" s="298" t="s">
        <v>52</v>
      </c>
      <c r="N6" s="299" t="str">
        <f t="shared" ref="N6:N27" si="0">M6&amp;"
***"</f>
        <v>NR
***</v>
      </c>
      <c r="O6" s="298" t="s">
        <v>52</v>
      </c>
      <c r="P6" s="132"/>
    </row>
    <row r="7" spans="1:16" s="131" customFormat="1" ht="79.900000000000006" customHeight="1">
      <c r="A7" s="128" t="s">
        <v>14</v>
      </c>
      <c r="B7" s="128" t="s">
        <v>14</v>
      </c>
      <c r="C7" s="127" t="s">
        <v>15</v>
      </c>
      <c r="D7" s="129" t="s">
        <v>16</v>
      </c>
      <c r="E7" s="129" t="s">
        <v>17</v>
      </c>
      <c r="F7" s="129" t="s">
        <v>18</v>
      </c>
      <c r="G7" s="122" t="s">
        <v>19</v>
      </c>
      <c r="H7" s="297" t="s">
        <v>52</v>
      </c>
      <c r="I7" s="299" t="s">
        <v>52</v>
      </c>
      <c r="J7" s="297" t="s">
        <v>1996</v>
      </c>
      <c r="K7" s="299" t="s">
        <v>2011</v>
      </c>
      <c r="L7" s="299" t="str">
        <f t="shared" ref="L7:L27" si="1">K7&amp;"
***"</f>
        <v>&lt;After 1st "3+7" regimen&gt;
QOL-E: no changes
QLQ-C30: deterioration in physical function (median 80, IQR 60-93, to 67, IQR 52-87, p=0.008), in role function (median 83, IQR 67-100, to 67, IQR 33-83, p=0.023) and in GHS (median 50, IQR 33-69, to 67, IQR 50-75, p=0.002) and improvement in dyspnea (p=0.023).
&lt;After consolidation therapy, among patients obtaining a CR&gt; 
QOL-E: improvement in median physical scores (56, IQR 41-72 to 63, IQR 50-84, p=0.033), disease-specific domain scores (59, IQR 48-67 to 74, IQR 67-85, p=0.003) and treatment outcome index scores (55, IQR 32-77, to 79, IQR 41-86, p=0.026)
QLQ-C30: improvement in emotional function (83, IQR 67-92, to 92, IQR 77-100, p=0.015), GHS (median 50, IQR 33-65 to 67, IQR 58-83, p=0.002). Dyspnea and insomnia regressed while financial problems increased.
***</v>
      </c>
      <c r="M7" s="298" t="s">
        <v>52</v>
      </c>
      <c r="N7" s="299" t="str">
        <f t="shared" si="0"/>
        <v>NR
***</v>
      </c>
      <c r="O7" s="298" t="s">
        <v>52</v>
      </c>
      <c r="P7" s="132"/>
    </row>
    <row r="8" spans="1:16" s="131" customFormat="1" ht="79.900000000000006" customHeight="1">
      <c r="A8" s="128" t="s">
        <v>26</v>
      </c>
      <c r="B8" s="128" t="s">
        <v>26</v>
      </c>
      <c r="C8" s="127" t="s">
        <v>27</v>
      </c>
      <c r="D8" s="129" t="s">
        <v>29</v>
      </c>
      <c r="E8" s="129" t="s">
        <v>30</v>
      </c>
      <c r="F8" s="129" t="s">
        <v>31</v>
      </c>
      <c r="G8" s="122" t="s">
        <v>13</v>
      </c>
      <c r="H8" s="297" t="s">
        <v>1996</v>
      </c>
      <c r="I8" s="299" t="s">
        <v>2010</v>
      </c>
      <c r="J8" s="297" t="s">
        <v>1996</v>
      </c>
      <c r="K8" s="299" t="s">
        <v>2009</v>
      </c>
      <c r="L8" s="299" t="str">
        <f t="shared" si="1"/>
        <v>Patients on the DEC arm showed a significant improvement in their physical functioning and borderline improvement of global health status. No apparent effect was seen on dyspnea. Trends of most of QOL scales favors DEC.
***</v>
      </c>
      <c r="M8" s="298" t="s">
        <v>52</v>
      </c>
      <c r="N8" s="299" t="str">
        <f t="shared" si="0"/>
        <v>NR
***</v>
      </c>
      <c r="O8" s="298" t="s">
        <v>52</v>
      </c>
      <c r="P8" s="132"/>
    </row>
    <row r="9" spans="1:16" s="131" customFormat="1" ht="79.900000000000006" customHeight="1">
      <c r="A9" s="128" t="s">
        <v>33</v>
      </c>
      <c r="B9" s="128" t="s">
        <v>33</v>
      </c>
      <c r="C9" s="127" t="s">
        <v>34</v>
      </c>
      <c r="D9" s="129" t="s">
        <v>35</v>
      </c>
      <c r="E9" s="129" t="s">
        <v>36</v>
      </c>
      <c r="F9" s="129" t="s">
        <v>37</v>
      </c>
      <c r="G9" s="122" t="s">
        <v>38</v>
      </c>
      <c r="H9" s="297" t="s">
        <v>52</v>
      </c>
      <c r="I9" s="299" t="s">
        <v>52</v>
      </c>
      <c r="J9" s="297" t="s">
        <v>1975</v>
      </c>
      <c r="K9" s="299" t="s">
        <v>2008</v>
      </c>
      <c r="L9" s="299" t="str">
        <f t="shared" si="1"/>
        <v>No consistent pattern of change in FACT-Leu score was observed. The median change in FACT-Leu score was similar in both arms where the range of scores overlapped considerably.
***</v>
      </c>
      <c r="M9" s="298" t="s">
        <v>52</v>
      </c>
      <c r="N9" s="299" t="str">
        <f t="shared" si="0"/>
        <v>NR
***</v>
      </c>
      <c r="O9" s="298" t="s">
        <v>52</v>
      </c>
      <c r="P9" s="132"/>
    </row>
    <row r="10" spans="1:16" ht="79.900000000000006" customHeight="1">
      <c r="A10" s="125" t="s">
        <v>39</v>
      </c>
      <c r="B10" s="125" t="s">
        <v>39</v>
      </c>
      <c r="C10" s="126" t="s">
        <v>40</v>
      </c>
      <c r="D10" s="123" t="s">
        <v>41</v>
      </c>
      <c r="E10" s="123" t="s">
        <v>42</v>
      </c>
      <c r="F10" s="123" t="s">
        <v>43</v>
      </c>
      <c r="G10" s="122" t="s">
        <v>44</v>
      </c>
      <c r="H10" s="297" t="s">
        <v>722</v>
      </c>
      <c r="I10" s="299" t="s">
        <v>2007</v>
      </c>
      <c r="J10" s="297" t="s">
        <v>722</v>
      </c>
      <c r="K10" s="299" t="s">
        <v>2006</v>
      </c>
      <c r="L10" s="299" t="str">
        <f t="shared" si="1"/>
        <v>For ECOG PS 0, EORT pysical/role/cognitive/emotional/social functioning scales and global health status numerically better than the EROT reference values. However With increasing ECOG performance status scores, the EORTC-QLQ-C30 health subscales deteriorated
***</v>
      </c>
      <c r="M10" s="298" t="s">
        <v>52</v>
      </c>
      <c r="N10" s="299" t="str">
        <f t="shared" si="0"/>
        <v>NR
***</v>
      </c>
      <c r="O10" s="297" t="s">
        <v>52</v>
      </c>
      <c r="P10" s="121"/>
    </row>
    <row r="11" spans="1:16" ht="79.900000000000006" customHeight="1">
      <c r="A11" s="322" t="s">
        <v>45</v>
      </c>
      <c r="B11" s="125" t="s">
        <v>45</v>
      </c>
      <c r="C11" s="126" t="s">
        <v>46</v>
      </c>
      <c r="D11" s="123" t="s">
        <v>47</v>
      </c>
      <c r="E11" s="123" t="s">
        <v>48</v>
      </c>
      <c r="F11" s="123" t="s">
        <v>49</v>
      </c>
      <c r="G11" s="122" t="s">
        <v>38</v>
      </c>
      <c r="H11" s="297" t="s">
        <v>52</v>
      </c>
      <c r="I11" s="299" t="s">
        <v>52</v>
      </c>
      <c r="J11" s="297" t="s">
        <v>52</v>
      </c>
      <c r="K11" s="299" t="s">
        <v>2005</v>
      </c>
      <c r="L11" s="299" t="str">
        <f t="shared" si="1"/>
        <v>At baseline, the mean FACT-Leu was 119.6. Except SWB, other FACTLeu subscale and aggregated scores highly correlated with FACT-Leu (0.74-0.96; p&lt;0.0001). Among NIC AML patients, FACT-Leu scores were significantly associated with PS and sex.
***</v>
      </c>
      <c r="M11" s="298" t="s">
        <v>2004</v>
      </c>
      <c r="N11" s="321" t="str">
        <f t="shared" si="0"/>
        <v>At baseline, the mean index values for VAS of EQ-5D-5L were 0.68 and 62.5, respectively. Both index values (0.65) and VAS of EQ-5D-5L (0.57) showed moderate correlation with FACT-Leu. The EQ-5D-5L (0.71) and VAS (0.60) showed moderate correlation with FACT-TOI (p&lt;0.0001).
***</v>
      </c>
      <c r="O11" s="297" t="s">
        <v>52</v>
      </c>
      <c r="P11" s="121"/>
    </row>
    <row r="12" spans="1:16" ht="79.900000000000006" customHeight="1">
      <c r="A12" s="125" t="s">
        <v>50</v>
      </c>
      <c r="B12" s="125" t="s">
        <v>50</v>
      </c>
      <c r="C12" s="126" t="s">
        <v>51</v>
      </c>
      <c r="D12" s="123" t="s">
        <v>52</v>
      </c>
      <c r="E12" s="123" t="s">
        <v>53</v>
      </c>
      <c r="F12" s="123" t="s">
        <v>54</v>
      </c>
      <c r="G12" s="122" t="s">
        <v>55</v>
      </c>
      <c r="H12" s="297" t="s">
        <v>52</v>
      </c>
      <c r="I12" s="299" t="s">
        <v>52</v>
      </c>
      <c r="J12" s="297" t="s">
        <v>52</v>
      </c>
      <c r="K12" s="299" t="s">
        <v>2003</v>
      </c>
      <c r="L12" s="299" t="str">
        <f t="shared" si="1"/>
        <v>QoL assessment were performed at baseline, 3 month, 6 month and 12 month. Patients who died before the next QoL assessment point had QLQ-30C summary score 8.65 (6.68-10.61) points lower,EQ-5D utility score 0.11 (0.08-0.14) points lower, and EQ-5D VAS 7.73 (5.13-10.34) lower (all p&lt;.0001). After early deaths had been excluded, there were no significant differences in baseline quality of life between those patients who entered remission and those who did not on any measure. Among patients who survived 90 days after the assessment, patients who were in remission at a post-baseline timepoint had significantly improved QLQ-30C summary score (difference 4.27 (0.06-8.48), p=0.05), and EQ-5D utility score (difference 0.08 (0.02-0.14) p=0.008), but EQ-5D VAS was not significantly different by remission status (-1.32 (-7.57-4.93) p=0.7). 
***</v>
      </c>
      <c r="M12" s="298" t="s">
        <v>2002</v>
      </c>
      <c r="N12" s="299" t="str">
        <f t="shared" si="0"/>
        <v>Among patients who survived 90 days after the assessment, patients who were in remission at a post-baseline timepoint had significantly improved  EQ-5D utility score (difference 0.08 (0.02-0.14) p=0.008)
***</v>
      </c>
      <c r="O12" s="297" t="s">
        <v>52</v>
      </c>
      <c r="P12" s="121"/>
    </row>
    <row r="13" spans="1:16" s="131" customFormat="1" ht="79.900000000000006" customHeight="1">
      <c r="A13" s="128" t="s">
        <v>56</v>
      </c>
      <c r="B13" s="128" t="s">
        <v>56</v>
      </c>
      <c r="C13" s="127" t="s">
        <v>57</v>
      </c>
      <c r="D13" s="129" t="s">
        <v>58</v>
      </c>
      <c r="E13" s="129" t="s">
        <v>59</v>
      </c>
      <c r="F13" s="129" t="s">
        <v>60</v>
      </c>
      <c r="G13" s="122" t="s">
        <v>61</v>
      </c>
      <c r="H13" s="297" t="s">
        <v>52</v>
      </c>
      <c r="I13" s="299" t="s">
        <v>52</v>
      </c>
      <c r="J13" s="297" t="s">
        <v>1996</v>
      </c>
      <c r="K13" s="299" t="s">
        <v>2001</v>
      </c>
      <c r="L13" s="299" t="str">
        <f t="shared" si="1"/>
        <v>50 were evaluable for QoL. Clinically important differences were seen in physical, role, cognitive and social functioning, global health status between responders and non responders (all higher in responders). Responders had significantly superior global health status (p=0.001) and EQ-5D scores (p=0.0002) and lower levels of fatigue (p&lt;0.0001).
***</v>
      </c>
      <c r="M13" s="298" t="s">
        <v>2000</v>
      </c>
      <c r="N13" s="299" t="str">
        <f t="shared" si="0"/>
        <v>Responders had significantly superior EQ-5D scores (p=.0002).
***</v>
      </c>
      <c r="O13" s="297" t="s">
        <v>52</v>
      </c>
      <c r="P13" s="132"/>
    </row>
    <row r="14" spans="1:16" ht="79.900000000000006" customHeight="1">
      <c r="A14" s="323" t="s">
        <v>69</v>
      </c>
      <c r="B14" s="128" t="s">
        <v>69</v>
      </c>
      <c r="C14" s="130" t="s">
        <v>70</v>
      </c>
      <c r="D14" s="129" t="s">
        <v>58</v>
      </c>
      <c r="E14" s="129" t="s">
        <v>72</v>
      </c>
      <c r="F14" s="129" t="s">
        <v>60</v>
      </c>
      <c r="G14" s="122" t="s">
        <v>73</v>
      </c>
      <c r="H14" s="297" t="s">
        <v>52</v>
      </c>
      <c r="I14" s="299" t="s">
        <v>52</v>
      </c>
      <c r="J14" s="297" t="s">
        <v>1975</v>
      </c>
      <c r="K14" s="300" t="s">
        <v>1999</v>
      </c>
      <c r="L14" s="299" t="str">
        <f t="shared" si="1"/>
        <v>The only clinically significant improvements were observed with the EORTC physical functioning and fatigue subscales but constipation scores were higher and global health status/QOL deteriorated over time.
***</v>
      </c>
      <c r="M14" s="297" t="s">
        <v>1998</v>
      </c>
      <c r="N14" s="299" t="str">
        <f t="shared" si="0"/>
        <v>Median score of EQ-5D
Baseline 0.848 / Month 1-2: 0.812 / Month 3-4: 0.849 / Month 5-7: 0.866
***</v>
      </c>
      <c r="O14" s="297" t="s">
        <v>1998</v>
      </c>
      <c r="P14" s="121"/>
    </row>
    <row r="15" spans="1:16" ht="79.900000000000006" customHeight="1">
      <c r="A15" s="128" t="s">
        <v>76</v>
      </c>
      <c r="B15" s="128" t="s">
        <v>76</v>
      </c>
      <c r="C15" s="127" t="s">
        <v>77</v>
      </c>
      <c r="D15" s="123" t="s">
        <v>79</v>
      </c>
      <c r="E15" s="123" t="s">
        <v>80</v>
      </c>
      <c r="F15" s="123" t="s">
        <v>81</v>
      </c>
      <c r="G15" s="122" t="s">
        <v>82</v>
      </c>
      <c r="H15" s="297" t="s">
        <v>52</v>
      </c>
      <c r="I15" s="299" t="s">
        <v>52</v>
      </c>
      <c r="J15" s="297" t="s">
        <v>52</v>
      </c>
      <c r="K15" s="299" t="s">
        <v>1997</v>
      </c>
      <c r="L15" s="299" t="str">
        <f t="shared" si="1"/>
        <v>At diagnosis The median QOL-E general standardized score 54 (IQR 46-70) / median EORTC QLQ-C30 global score decreased 50 (IQR 41-66) 
Fatigue in QOL-E median 45 (IQR 32-53) / in QLQ-C30 median 33 (IQR 22-66)
Loss of appetite was perceived by 75% of patients 
***</v>
      </c>
      <c r="M15" s="298" t="s">
        <v>52</v>
      </c>
      <c r="N15" s="299" t="str">
        <f t="shared" si="0"/>
        <v>NR
***</v>
      </c>
      <c r="O15" s="297" t="s">
        <v>52</v>
      </c>
      <c r="P15" s="121"/>
    </row>
    <row r="16" spans="1:16" ht="79.900000000000006" customHeight="1">
      <c r="A16" s="128" t="s">
        <v>84</v>
      </c>
      <c r="B16" s="128" t="s">
        <v>84</v>
      </c>
      <c r="C16" s="127" t="s">
        <v>85</v>
      </c>
      <c r="D16" s="123" t="s">
        <v>54</v>
      </c>
      <c r="E16" s="123" t="s">
        <v>87</v>
      </c>
      <c r="F16" s="123" t="s">
        <v>88</v>
      </c>
      <c r="G16" s="122" t="s">
        <v>89</v>
      </c>
      <c r="H16" s="297" t="s">
        <v>52</v>
      </c>
      <c r="I16" s="299" t="s">
        <v>52</v>
      </c>
      <c r="J16" s="297" t="s">
        <v>1996</v>
      </c>
      <c r="K16" s="299" t="s">
        <v>1995</v>
      </c>
      <c r="L16" s="299" t="str">
        <f t="shared" si="1"/>
        <v>There were worsening of emotional (-9.03; p= 0.04) and cognitive (-6.94; p= 0.05) EORTC scale scores, while increasing FACTG (+2.9; p=0.03), emotional (+1.1; p= 0.04) and Functional well being (+2.25; p=0.001) in FACT An scores. 
***</v>
      </c>
      <c r="M16" s="298" t="s">
        <v>52</v>
      </c>
      <c r="N16" s="299" t="str">
        <f t="shared" si="0"/>
        <v>NR
***</v>
      </c>
      <c r="O16" s="297" t="s">
        <v>52</v>
      </c>
      <c r="P16" s="121"/>
    </row>
    <row r="17" spans="1:16" ht="79.900000000000006" customHeight="1">
      <c r="A17" s="128" t="s">
        <v>91</v>
      </c>
      <c r="B17" s="128" t="s">
        <v>91</v>
      </c>
      <c r="C17" s="130" t="s">
        <v>92</v>
      </c>
      <c r="D17" s="129" t="s">
        <v>94</v>
      </c>
      <c r="E17" s="129" t="s">
        <v>96</v>
      </c>
      <c r="F17" s="129" t="s">
        <v>97</v>
      </c>
      <c r="G17" s="122" t="s">
        <v>98</v>
      </c>
      <c r="H17" s="297" t="s">
        <v>52</v>
      </c>
      <c r="I17" s="299" t="s">
        <v>52</v>
      </c>
      <c r="J17" s="297" t="s">
        <v>52</v>
      </c>
      <c r="K17" s="299" t="s">
        <v>2020</v>
      </c>
      <c r="L17" s="299" t="str">
        <f t="shared" si="1"/>
        <v>At baseline, median EORTC QLQ-C30 Fatigue (BSC vs. HA vs. IC/HCT vs. total): 53.3 vs. 66.6 vs. 44.3 vs. 53.3
median ADL (Barthel Index) (BSC vs. HA vs. IC/HCT vs. total): 100 vs. 100 vs. 100 vs. 100
***</v>
      </c>
      <c r="M17" s="298" t="s">
        <v>52</v>
      </c>
      <c r="N17" s="299" t="str">
        <f t="shared" si="0"/>
        <v>NR
***</v>
      </c>
      <c r="O17" s="297" t="s">
        <v>52</v>
      </c>
      <c r="P17" s="121"/>
    </row>
    <row r="18" spans="1:16" ht="79.900000000000006" customHeight="1">
      <c r="A18" s="128" t="s">
        <v>100</v>
      </c>
      <c r="B18" s="128" t="s">
        <v>100</v>
      </c>
      <c r="C18" s="127" t="s">
        <v>101</v>
      </c>
      <c r="D18" s="129" t="s">
        <v>54</v>
      </c>
      <c r="E18" s="129" t="s">
        <v>103</v>
      </c>
      <c r="F18" s="129" t="s">
        <v>104</v>
      </c>
      <c r="G18" s="122" t="s">
        <v>105</v>
      </c>
      <c r="H18" s="297" t="s">
        <v>52</v>
      </c>
      <c r="I18" s="299" t="s">
        <v>1994</v>
      </c>
      <c r="J18" s="297" t="s">
        <v>52</v>
      </c>
      <c r="K18" s="299" t="s">
        <v>1993</v>
      </c>
      <c r="L18" s="299" t="str">
        <f t="shared" si="1"/>
        <v>First-line patients may have a directionally better QoL scores than those on later lines of therapy
1L vs. R/R:  EQ-5D = 0.75 vs. 0.71 (P=0.51) and the FACT-Leu = 103.7 vs. 92.5 (P=0.098)
R/R patients were significantly more likely than first-line patients to be affected physically by their AML condition
1L vs. R/R: FACT-Leu-Physical Well-Being sub-domain = 13.0 vs. 17.6, p=0.005
***</v>
      </c>
      <c r="M18" s="298" t="s">
        <v>1992</v>
      </c>
      <c r="N18" s="299" t="str">
        <f t="shared" si="0"/>
        <v>1L patients have better EQ-5D  scores than those on later lines of therapy, 
***</v>
      </c>
      <c r="O18" s="298" t="s">
        <v>1991</v>
      </c>
      <c r="P18" s="121"/>
    </row>
    <row r="19" spans="1:16" ht="79.900000000000006" customHeight="1">
      <c r="A19" s="128" t="s">
        <v>107</v>
      </c>
      <c r="B19" s="128" t="s">
        <v>107</v>
      </c>
      <c r="C19" s="130" t="s">
        <v>108</v>
      </c>
      <c r="D19" s="129" t="s">
        <v>54</v>
      </c>
      <c r="E19" s="129" t="s">
        <v>110</v>
      </c>
      <c r="F19" s="123" t="s">
        <v>111</v>
      </c>
      <c r="G19" s="122" t="s">
        <v>112</v>
      </c>
      <c r="H19" s="297" t="s">
        <v>52</v>
      </c>
      <c r="I19" s="299" t="s">
        <v>1990</v>
      </c>
      <c r="J19" s="297" t="s">
        <v>52</v>
      </c>
      <c r="K19" s="299" t="s">
        <v>1989</v>
      </c>
      <c r="L19" s="299" t="str">
        <f t="shared" si="1"/>
        <v>Participants scored well on the EORTC QLQ-C30. The FACIT-Fatigue (worst 0-best 52) mean score was 28.7 and median score was 33.5 (normal ≥30). On the HADS anxiety scale, 2 participants scored in the abnormal range. On the QOL-CS, participants scored above 6 out of 10 in all domains, with exceptions of the psychological subscales of distress and fear (Physical 8.7 / Psychological 7.9 / Distress 4.7 / Fear 4.5 / Social 7.1 / Spiritual 7.4).
***</v>
      </c>
      <c r="M19" s="298" t="s">
        <v>52</v>
      </c>
      <c r="N19" s="299" t="str">
        <f t="shared" si="0"/>
        <v>NR
***</v>
      </c>
      <c r="O19" s="297" t="s">
        <v>52</v>
      </c>
      <c r="P19" s="121"/>
    </row>
    <row r="20" spans="1:16" ht="79.900000000000006" customHeight="1">
      <c r="A20" s="323" t="s">
        <v>115</v>
      </c>
      <c r="B20" s="128" t="s">
        <v>115</v>
      </c>
      <c r="C20" s="127" t="s">
        <v>116</v>
      </c>
      <c r="D20" s="129" t="s">
        <v>54</v>
      </c>
      <c r="E20" s="123" t="s">
        <v>117</v>
      </c>
      <c r="F20" s="123" t="s">
        <v>118</v>
      </c>
      <c r="G20" s="122" t="s">
        <v>119</v>
      </c>
      <c r="H20" s="297" t="s">
        <v>52</v>
      </c>
      <c r="I20" s="299" t="s">
        <v>1988</v>
      </c>
      <c r="J20" s="297" t="s">
        <v>52</v>
      </c>
      <c r="K20" s="299" t="s">
        <v>1987</v>
      </c>
      <c r="L20" s="299" t="str">
        <f t="shared" si="1"/>
        <v>The majority of the patients with AML reported problems on the five functioning scales of the QLQ-C30. The average scores on all functioning scales were significantly lower in patients with AML compared to adjusted general population scores. The differences in physical, role,
cognitive, and social functioning were also clinically relevant. Despite these differences, no significant difference was found for the global quality of life. 
***</v>
      </c>
      <c r="M20" s="298" t="s">
        <v>2021</v>
      </c>
      <c r="N20" s="299" t="str">
        <f t="shared" si="0"/>
        <v>Average EQ-VAS score of the patients was significantly lower than the predicted general population EQ-VAS: 74.6 vs. 78.8, p=0.0333. The lower  utility score was related to more problems with mobility and usual activities and more anxiety/depression. Allogeneic HSCT, younger age, and the absence of social support were also associated with a lower EQ-VAS score.
Overall, 0.82 (0.21 - 1.0); 
No Relapse: 0.83 vs. Relapse: 0.78 (p=0.19)
High dose chemo/HSCT: 0.83 vs. HSCT: 0.82 (p=0.77)
***</v>
      </c>
      <c r="O20" s="297"/>
      <c r="P20" s="121"/>
    </row>
    <row r="21" spans="1:16" ht="79.900000000000006" customHeight="1">
      <c r="A21" s="128" t="s">
        <v>125</v>
      </c>
      <c r="B21" s="128" t="s">
        <v>125</v>
      </c>
      <c r="C21" s="127" t="s">
        <v>127</v>
      </c>
      <c r="D21" s="129" t="s">
        <v>54</v>
      </c>
      <c r="E21" s="123" t="s">
        <v>128</v>
      </c>
      <c r="F21" s="123" t="s">
        <v>129</v>
      </c>
      <c r="G21" s="122" t="s">
        <v>130</v>
      </c>
      <c r="H21" s="297" t="s">
        <v>52</v>
      </c>
      <c r="I21" s="299" t="s">
        <v>1986</v>
      </c>
      <c r="J21" s="297" t="s">
        <v>52</v>
      </c>
      <c r="K21" s="299" t="s">
        <v>1985</v>
      </c>
      <c r="L21" s="299" t="str">
        <f t="shared" si="1"/>
        <v>On the MDASI, fatigue (followed by distress and disturbed sleep) was the symptom reported most often in the last 24 hours. Fatigue had the highest mean severity rating (3.37, sd = 3.36, 0-10 scale) on the MDASI.
***</v>
      </c>
      <c r="M21" s="298" t="s">
        <v>52</v>
      </c>
      <c r="N21" s="299" t="str">
        <f t="shared" si="0"/>
        <v>NR
***</v>
      </c>
      <c r="O21" s="297" t="s">
        <v>52</v>
      </c>
      <c r="P21" s="121"/>
    </row>
    <row r="22" spans="1:16" ht="111.75" customHeight="1">
      <c r="A22" s="323" t="s">
        <v>135</v>
      </c>
      <c r="B22" s="128" t="s">
        <v>135</v>
      </c>
      <c r="C22" s="127" t="s">
        <v>136</v>
      </c>
      <c r="D22" s="123" t="s">
        <v>138</v>
      </c>
      <c r="E22" s="123" t="s">
        <v>140</v>
      </c>
      <c r="F22" s="123" t="s">
        <v>142</v>
      </c>
      <c r="G22" s="122" t="s">
        <v>144</v>
      </c>
      <c r="H22" s="297" t="s">
        <v>52</v>
      </c>
      <c r="I22" s="299" t="s">
        <v>52</v>
      </c>
      <c r="J22" s="297" t="s">
        <v>52</v>
      </c>
      <c r="K22" s="299" t="s">
        <v>1984</v>
      </c>
      <c r="L22" s="299" t="str">
        <f t="shared" si="1"/>
        <v>The utility analysis results show that, compared with patients receiving bsc, patients treated with azacitidine had a better quality of life, and the difference increased with increasing length of treatment.
***</v>
      </c>
      <c r="M22" s="298" t="s">
        <v>2022</v>
      </c>
      <c r="N22" s="299" t="str">
        <f t="shared" si="0"/>
        <v>For MDS patients utility values were obtained from two studies in which EQ-5D health questionnaire values were mapped from the European Organization for Research and Treatment of Cancer qlq-C30 survey, and SF-6D scores were mapped from the Short Form 12, elicited from 191 and 43 patients in two different trials. Because no utility values had been reported for patients with AML&gt;30, it was assumed that the utility value of this health state would be the same as that of baseline mds treated with azacitidine or BSC.
&lt;EQ-5D&gt;
AZA Day 0: 0.67 / Day 50: 0.70 / Day 106: 0.74 / Day 182: 0.80 / Day 183 onward: 0.80
Best supportive care Day 0: 0.67 / Day 50: 0.69 / Day 106: 0.68 / Day 182: 0.72 / Day 183 onward: 0.80
AML (&gt;30% blasts) 0.67
&lt;SF-6D&gt;
Low-dose chemotherapy Day 0: 0.67 / Day 14: 0.70 / Day 42: 0.71 / Day 70: 0.72 / Day 98: 0.70 / Day 182: 0.85 / Day 365: 0.67 / Day 366 onward: 0.67
Standard-dose chemotherapy Day 0: 0.66 / Day 14: 0.61 / Day 42: 0.66 / Day 70: 0.69 / Day 98: 0.72 / Day 182: 0.74 / Day 365: 0.83 / Day 366 onward: 0.83
***</v>
      </c>
      <c r="O22" s="297"/>
      <c r="P22" s="121"/>
    </row>
    <row r="23" spans="1:16" ht="79.900000000000006" customHeight="1">
      <c r="A23" s="323" t="s">
        <v>147</v>
      </c>
      <c r="B23" s="128" t="s">
        <v>147</v>
      </c>
      <c r="C23" s="127" t="s">
        <v>148</v>
      </c>
      <c r="D23" s="123" t="s">
        <v>149</v>
      </c>
      <c r="E23" s="123" t="s">
        <v>150</v>
      </c>
      <c r="F23" s="123" t="s">
        <v>151</v>
      </c>
      <c r="G23" s="122" t="s">
        <v>153</v>
      </c>
      <c r="H23" s="297" t="s">
        <v>52</v>
      </c>
      <c r="I23" s="299" t="s">
        <v>52</v>
      </c>
      <c r="J23" s="297" t="s">
        <v>52</v>
      </c>
      <c r="K23" s="299" t="s">
        <v>52</v>
      </c>
      <c r="L23" s="299" t="str">
        <f t="shared" si="1"/>
        <v>NR
***</v>
      </c>
      <c r="M23" s="298" t="s">
        <v>2023</v>
      </c>
      <c r="N23" s="299" t="str">
        <f t="shared" si="0"/>
        <v>The adjusted means of the EQ-5D index were adopted from the previous cross-sectional study of acute leukemia survivors. In the Markov model, we allowed the QOL estimates to change over time to reflect possible longitudinal alterations in QOL; durations were defined relative to time since CR1 (&lt;1 year, 1 to 2 years, 3 to 5 years, and 6 years or more).
&lt;Overall&gt;
Alive after HCT (overall) 0.74 / Alive after HCT (no GVHD) 0.79 / Alive after HCT (with GVHD) 0.67 / Alive after chemotherapy 0.71
&lt;less than 1 year&gt;
Alive after HCT (overall) 0.59 / Alive after HCT (no GVHD) 0.51 / Alive after HCT (with GVHD) 0.71 / Alive after chemotherapy 0.60
&lt;1 to 2 years&gt;
Alive after HCT (overall) 0.75 / Alive after HCT (no GVHD) 0.77 / Alive after HCT (with GVHD) 0.73 / Alive after chemotherapy 0.68
&lt;3 to 5 years&gt;
Alive after HCT (overall) 0.74 / Alive after HCT (no GVHD) 0.81 / Alive after HCT (with GVHD) 0.67 / Alive after chemotherapy 0.74
&lt;more than 5 years&gt;
Alive after HCT (overall) 0.76 / Alive after HCT (no GVHD) 0.83 / Alive after HCT (with GVHD) 0.63 / Alive after chemotherapy 0.74
***</v>
      </c>
      <c r="O23" s="297"/>
      <c r="P23" s="121"/>
    </row>
    <row r="24" spans="1:16" ht="79.900000000000006" customHeight="1">
      <c r="A24" s="125" t="s">
        <v>159</v>
      </c>
      <c r="B24" s="125" t="s">
        <v>159</v>
      </c>
      <c r="C24" s="126" t="s">
        <v>161</v>
      </c>
      <c r="D24" s="123" t="s">
        <v>163</v>
      </c>
      <c r="E24" s="123" t="s">
        <v>165</v>
      </c>
      <c r="F24" s="123" t="s">
        <v>167</v>
      </c>
      <c r="G24" s="122" t="s">
        <v>169</v>
      </c>
      <c r="H24" s="297" t="s">
        <v>722</v>
      </c>
      <c r="I24" s="299" t="s">
        <v>1983</v>
      </c>
      <c r="J24" s="297" t="s">
        <v>722</v>
      </c>
      <c r="K24" s="299" t="s">
        <v>1982</v>
      </c>
      <c r="L24" s="299" t="str">
        <f t="shared" si="1"/>
        <v>There were no differences in QOL (β = -0.71, SE = 1.12, P = 0.527)  over all time points. Older patients with AML receiving intensive and non-intensive chemotherapy experience similar QOL.
***</v>
      </c>
      <c r="M24" s="298" t="s">
        <v>52</v>
      </c>
      <c r="N24" s="299" t="str">
        <f t="shared" si="0"/>
        <v>NR
***</v>
      </c>
      <c r="O24" s="297" t="s">
        <v>52</v>
      </c>
      <c r="P24" s="121"/>
    </row>
    <row r="25" spans="1:16" ht="79.900000000000006" customHeight="1">
      <c r="A25" s="125" t="s">
        <v>170</v>
      </c>
      <c r="B25" s="125" t="s">
        <v>170</v>
      </c>
      <c r="C25" s="126" t="s">
        <v>171</v>
      </c>
      <c r="D25" s="123" t="s">
        <v>172</v>
      </c>
      <c r="E25" s="123" t="s">
        <v>173</v>
      </c>
      <c r="F25" s="123" t="s">
        <v>174</v>
      </c>
      <c r="G25" s="122" t="s">
        <v>175</v>
      </c>
      <c r="H25" s="297" t="s">
        <v>610</v>
      </c>
      <c r="I25" s="299" t="s">
        <v>1981</v>
      </c>
      <c r="J25" s="297" t="s">
        <v>52</v>
      </c>
      <c r="K25" s="299" t="s">
        <v>1980</v>
      </c>
      <c r="L25" s="299" t="str">
        <f t="shared" si="1"/>
        <v>At baseline, NIC AML patients had poor HRQoL scores in GHS (50) on a 0-100 scale, with higher scores indicating better health. Clinically meaningful and significant improvements in fatigue and PF were observed with non-intensive chemotherapeutic agents across several studies. Clinical responders demonstrated meaningful improvements in QLQ-C30 physical, role, cognitive and social functioning, Global Health Status, and EQ-5D scores from baseline after being treated with chemotherapy. Low baseline HRQoL scores, especially physical function was  shown to be significant independent predictors of poor survival.
***</v>
      </c>
      <c r="M25" s="298" t="s">
        <v>1979</v>
      </c>
      <c r="N25" s="299" t="str">
        <f t="shared" si="0"/>
        <v>Clinical responders demonstrated meaningful improvements in EQ-5D scores from baseline after being treated with chemotherapy.
***</v>
      </c>
      <c r="O25" s="297" t="s">
        <v>1978</v>
      </c>
      <c r="P25" s="121"/>
    </row>
    <row r="26" spans="1:16" ht="79.900000000000006" customHeight="1">
      <c r="A26" s="125" t="s">
        <v>176</v>
      </c>
      <c r="B26" s="125" t="s">
        <v>176</v>
      </c>
      <c r="C26" s="126" t="s">
        <v>178</v>
      </c>
      <c r="D26" s="123" t="s">
        <v>52</v>
      </c>
      <c r="E26" s="123" t="s">
        <v>179</v>
      </c>
      <c r="F26" s="123" t="s">
        <v>180</v>
      </c>
      <c r="G26" s="123" t="s">
        <v>181</v>
      </c>
      <c r="H26" s="297" t="s">
        <v>52</v>
      </c>
      <c r="I26" s="299" t="s">
        <v>52</v>
      </c>
      <c r="J26" s="297" t="s">
        <v>52</v>
      </c>
      <c r="K26" s="299" t="s">
        <v>1977</v>
      </c>
      <c r="L26" s="299" t="str">
        <f t="shared" si="1"/>
        <v>Based on best-Worst Scaling (BWS) instrument, patients were most worried about “the possibility of dying from AML” (BW score= 74.47, SE= 0.60) and the “long-term side effects of treatments” (BW score= 70.61, SE= 0.53). Patients were least worried about “communicating openly with doctors” (BW score= 24.34, SE= 0.50). 
***</v>
      </c>
      <c r="M26" s="298" t="s">
        <v>52</v>
      </c>
      <c r="N26" s="299" t="str">
        <f t="shared" si="0"/>
        <v>NR
***</v>
      </c>
      <c r="O26" s="297" t="s">
        <v>52</v>
      </c>
      <c r="P26" s="121"/>
    </row>
    <row r="27" spans="1:16" ht="79.900000000000006" customHeight="1">
      <c r="A27" s="125" t="s">
        <v>186</v>
      </c>
      <c r="B27" s="125" t="s">
        <v>186</v>
      </c>
      <c r="C27" s="124" t="s">
        <v>188</v>
      </c>
      <c r="D27" s="123" t="s">
        <v>52</v>
      </c>
      <c r="E27" s="123" t="s">
        <v>191</v>
      </c>
      <c r="F27" s="123" t="s">
        <v>193</v>
      </c>
      <c r="G27" s="122" t="s">
        <v>194</v>
      </c>
      <c r="H27" s="297" t="s">
        <v>52</v>
      </c>
      <c r="I27" s="299" t="s">
        <v>1976</v>
      </c>
      <c r="J27" s="297" t="s">
        <v>52</v>
      </c>
      <c r="K27" s="299" t="s">
        <v>52</v>
      </c>
      <c r="L27" s="299" t="str">
        <f t="shared" si="1"/>
        <v>NR
***</v>
      </c>
      <c r="M27" s="298" t="s">
        <v>52</v>
      </c>
      <c r="N27" s="299" t="str">
        <f t="shared" si="0"/>
        <v>NR
***</v>
      </c>
      <c r="O27" s="297" t="s">
        <v>52</v>
      </c>
      <c r="P27" s="121"/>
    </row>
    <row r="28" spans="1:16">
      <c r="P28" s="121"/>
    </row>
    <row r="29" spans="1:16" ht="16.5" thickBot="1">
      <c r="A29" s="120"/>
      <c r="B29" s="120"/>
      <c r="C29" s="119"/>
      <c r="D29" s="119"/>
      <c r="E29" s="119"/>
      <c r="F29" s="119"/>
      <c r="G29" s="119"/>
      <c r="H29" s="119"/>
      <c r="I29" s="296"/>
      <c r="J29" s="119"/>
      <c r="K29" s="296"/>
      <c r="L29" s="296"/>
      <c r="M29" s="119"/>
      <c r="N29" s="119"/>
      <c r="O29" s="119"/>
      <c r="P29" s="118"/>
    </row>
  </sheetData>
  <autoFilter ref="A4:G4" xr:uid="{0730A8DD-A790-4D64-80F4-F4AC86E5B5FA}"/>
  <mergeCells count="5">
    <mergeCell ref="A3:D3"/>
    <mergeCell ref="E3:G3"/>
    <mergeCell ref="H3:I3"/>
    <mergeCell ref="J3:K3"/>
    <mergeCell ref="M3:O3"/>
  </mergeCells>
  <conditionalFormatting sqref="A2:B2">
    <cfRule type="duplicateValues" dxfId="0" priority="1"/>
  </conditionalFormatting>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2B6F3-1769-48EF-BE0A-AFEF483F6453}">
  <sheetPr>
    <tabColor rgb="FF4B277B"/>
  </sheetPr>
  <dimension ref="A1:BT105"/>
  <sheetViews>
    <sheetView showGridLines="0" zoomScale="70" zoomScaleNormal="70" workbookViewId="0">
      <pane ySplit="1" topLeftCell="A2" activePane="bottomLeft" state="frozen"/>
      <selection activeCell="BJ9" sqref="BJ9"/>
      <selection pane="bottomLeft" activeCell="I1" sqref="I1:I1048576"/>
    </sheetView>
  </sheetViews>
  <sheetFormatPr defaultColWidth="10.75" defaultRowHeight="15"/>
  <cols>
    <col min="1" max="2" width="22.5" style="4" customWidth="1"/>
    <col min="3" max="3" width="31.75" style="7" customWidth="1"/>
    <col min="4" max="5" width="16.25" style="4" customWidth="1"/>
    <col min="6" max="7" width="25.25" style="4" customWidth="1"/>
    <col min="8" max="8" width="23.75" style="4" customWidth="1"/>
    <col min="9" max="9" width="22" style="6" customWidth="1"/>
    <col min="10" max="10" width="18.75" style="5" customWidth="1"/>
    <col min="11" max="11" width="13.25" style="5" customWidth="1"/>
    <col min="12" max="13" width="12.75" style="5" customWidth="1"/>
    <col min="14" max="14" width="11.75" style="273" customWidth="1"/>
    <col min="15" max="15" width="12.75" style="284" customWidth="1"/>
    <col min="16" max="16" width="11.75" style="273" customWidth="1"/>
    <col min="17" max="18" width="11.25" style="4" customWidth="1"/>
    <col min="19" max="19" width="18.25" style="4" customWidth="1"/>
    <col min="20" max="20" width="22" style="4" customWidth="1"/>
    <col min="21" max="21" width="22.25" style="4" customWidth="1"/>
    <col min="22" max="23" width="19.25" style="4" customWidth="1"/>
    <col min="24" max="24" width="12.75" style="284" customWidth="1"/>
    <col min="25" max="25" width="19.25" style="4" customWidth="1"/>
    <col min="26" max="26" width="18.5" style="4" customWidth="1"/>
    <col min="27" max="27" width="20.25" style="4" customWidth="1"/>
    <col min="28" max="28" width="14.75" style="4" customWidth="1"/>
    <col min="29" max="32" width="10.75" style="4" customWidth="1"/>
    <col min="33" max="33" width="14.25" style="4" customWidth="1"/>
    <col min="34" max="34" width="10.75" style="4" customWidth="1"/>
    <col min="35" max="35" width="28.75" style="4" customWidth="1"/>
    <col min="36" max="36" width="10.75" style="4" customWidth="1"/>
    <col min="37" max="37" width="22.25" style="4" customWidth="1"/>
    <col min="38" max="41" width="10.75" style="4" customWidth="1"/>
    <col min="42" max="42" width="13.25" style="4" customWidth="1"/>
    <col min="43" max="43" width="15" style="4" customWidth="1"/>
    <col min="44" max="45" width="12.75" style="4" customWidth="1"/>
    <col min="46" max="46" width="20" style="4" customWidth="1"/>
    <col min="47" max="48" width="15.75" style="4" customWidth="1"/>
    <col min="49" max="49" width="13.25" style="4" customWidth="1"/>
    <col min="50" max="50" width="10.75" style="4" customWidth="1"/>
    <col min="51" max="52" width="16.25" style="4" customWidth="1"/>
    <col min="53" max="53" width="10.75" style="4" customWidth="1"/>
    <col min="54" max="54" width="14.25" style="4" customWidth="1"/>
    <col min="55" max="55" width="10.75" style="4" customWidth="1"/>
    <col min="56" max="56" width="16.5" style="4" customWidth="1"/>
    <col min="57" max="57" width="12.25" style="4" customWidth="1"/>
    <col min="58" max="58" width="13.25" style="4" customWidth="1"/>
    <col min="59" max="59" width="14.75" style="4" customWidth="1"/>
    <col min="60" max="60" width="16.75" style="4" customWidth="1"/>
    <col min="61" max="61" width="13.5" style="4" customWidth="1"/>
    <col min="62" max="62" width="11.75" style="4" customWidth="1"/>
    <col min="63" max="63" width="13.5" style="5" customWidth="1"/>
    <col min="64" max="64" width="12.75" style="5" customWidth="1"/>
    <col min="65" max="65" width="14" style="5" customWidth="1"/>
    <col min="66" max="67" width="15.75" style="5" customWidth="1"/>
    <col min="68" max="68" width="12.75" style="4" customWidth="1"/>
    <col min="69" max="69" width="13" style="4" customWidth="1"/>
    <col min="70" max="70" width="12.75" style="4" customWidth="1"/>
    <col min="71" max="71" width="35.75" style="4" customWidth="1"/>
    <col min="72" max="72" width="3.25" style="4" customWidth="1"/>
    <col min="73" max="16384" width="10.75" style="4"/>
  </cols>
  <sheetData>
    <row r="1" spans="1:72" s="78" customFormat="1" ht="70.900000000000006" customHeight="1">
      <c r="A1" s="89" t="s">
        <v>1927</v>
      </c>
      <c r="B1" s="80" t="s">
        <v>257</v>
      </c>
      <c r="C1" s="80" t="s">
        <v>521</v>
      </c>
      <c r="D1" s="80" t="s">
        <v>522</v>
      </c>
      <c r="E1" s="80" t="s">
        <v>5</v>
      </c>
      <c r="F1" s="80" t="s">
        <v>4</v>
      </c>
      <c r="G1" s="80" t="s">
        <v>523</v>
      </c>
      <c r="H1" s="80" t="s">
        <v>21</v>
      </c>
      <c r="I1" s="80" t="s">
        <v>524</v>
      </c>
      <c r="J1" s="87" t="s">
        <v>525</v>
      </c>
      <c r="K1" s="87" t="s">
        <v>526</v>
      </c>
      <c r="L1" s="87" t="s">
        <v>527</v>
      </c>
      <c r="M1" s="87" t="s">
        <v>528</v>
      </c>
      <c r="N1" s="265" t="s">
        <v>1971</v>
      </c>
      <c r="O1" s="274"/>
      <c r="P1" s="274" t="s">
        <v>1971</v>
      </c>
      <c r="Q1" s="87" t="s">
        <v>530</v>
      </c>
      <c r="R1" s="87" t="s">
        <v>531</v>
      </c>
      <c r="S1" s="87" t="s">
        <v>532</v>
      </c>
      <c r="T1" s="88" t="s">
        <v>533</v>
      </c>
      <c r="U1" s="88" t="s">
        <v>534</v>
      </c>
      <c r="V1" s="88" t="s">
        <v>535</v>
      </c>
      <c r="W1" s="88"/>
      <c r="X1" s="274"/>
      <c r="Y1" s="88"/>
      <c r="Z1" s="88" t="s">
        <v>536</v>
      </c>
      <c r="AA1" s="88" t="s">
        <v>537</v>
      </c>
      <c r="AB1" s="87" t="s">
        <v>538</v>
      </c>
      <c r="AC1" s="86" t="s">
        <v>539</v>
      </c>
      <c r="AD1" s="86" t="s">
        <v>540</v>
      </c>
      <c r="AE1" s="86" t="s">
        <v>541</v>
      </c>
      <c r="AF1" s="86" t="s">
        <v>542</v>
      </c>
      <c r="AG1" s="86" t="s">
        <v>543</v>
      </c>
      <c r="AH1" s="86" t="s">
        <v>544</v>
      </c>
      <c r="AI1" s="86" t="s">
        <v>545</v>
      </c>
      <c r="AJ1" s="86" t="s">
        <v>539</v>
      </c>
      <c r="AK1" s="86" t="s">
        <v>546</v>
      </c>
      <c r="AL1" s="86" t="s">
        <v>548</v>
      </c>
      <c r="AM1" s="86"/>
      <c r="AN1" s="86" t="s">
        <v>547</v>
      </c>
      <c r="AO1" s="84" t="s">
        <v>539</v>
      </c>
      <c r="AP1" s="84" t="s">
        <v>551</v>
      </c>
      <c r="AQ1" s="84" t="s">
        <v>552</v>
      </c>
      <c r="AR1" s="84" t="s">
        <v>553</v>
      </c>
      <c r="AS1" s="84" t="s">
        <v>554</v>
      </c>
      <c r="AT1" s="83" t="s">
        <v>555</v>
      </c>
      <c r="AU1" s="83" t="s">
        <v>556</v>
      </c>
      <c r="AV1" s="83" t="s">
        <v>557</v>
      </c>
      <c r="AW1" s="82" t="s">
        <v>558</v>
      </c>
      <c r="AX1" s="82" t="s">
        <v>559</v>
      </c>
      <c r="AY1" s="82" t="s">
        <v>560</v>
      </c>
      <c r="AZ1" s="82" t="s">
        <v>561</v>
      </c>
      <c r="BA1" s="82" t="s">
        <v>562</v>
      </c>
      <c r="BB1" s="82" t="s">
        <v>563</v>
      </c>
      <c r="BC1" s="82" t="s">
        <v>564</v>
      </c>
      <c r="BD1" s="82" t="s">
        <v>565</v>
      </c>
      <c r="BE1" s="82" t="s">
        <v>566</v>
      </c>
      <c r="BF1" s="82" t="s">
        <v>567</v>
      </c>
      <c r="BG1" s="82" t="s">
        <v>568</v>
      </c>
      <c r="BH1" s="82" t="s">
        <v>569</v>
      </c>
      <c r="BI1" s="82" t="s">
        <v>570</v>
      </c>
      <c r="BJ1" s="82" t="s">
        <v>571</v>
      </c>
      <c r="BK1" s="82" t="s">
        <v>572</v>
      </c>
      <c r="BL1" s="82" t="s">
        <v>573</v>
      </c>
      <c r="BM1" s="82" t="s">
        <v>574</v>
      </c>
      <c r="BN1" s="82" t="s">
        <v>575</v>
      </c>
      <c r="BO1" s="81" t="s">
        <v>576</v>
      </c>
      <c r="BP1" s="80" t="s">
        <v>577</v>
      </c>
      <c r="BQ1" s="80" t="s">
        <v>322</v>
      </c>
      <c r="BR1" s="80" t="s">
        <v>578</v>
      </c>
      <c r="BS1" s="80" t="s">
        <v>579</v>
      </c>
      <c r="BT1" s="79" t="s">
        <v>32</v>
      </c>
    </row>
    <row r="2" spans="1:72" s="8" customFormat="1" ht="15" customHeight="1">
      <c r="A2" s="637" t="s">
        <v>1926</v>
      </c>
      <c r="B2" s="588" t="s">
        <v>486</v>
      </c>
      <c r="C2" s="631" t="s">
        <v>345</v>
      </c>
      <c r="D2" s="588" t="s">
        <v>487</v>
      </c>
      <c r="E2" s="588" t="s">
        <v>580</v>
      </c>
      <c r="F2" s="22" t="s">
        <v>488</v>
      </c>
      <c r="G2" s="589" t="s">
        <v>581</v>
      </c>
      <c r="H2" s="612" t="s">
        <v>355</v>
      </c>
      <c r="I2" s="685" t="s">
        <v>582</v>
      </c>
      <c r="J2" s="234">
        <v>88</v>
      </c>
      <c r="K2" s="586">
        <v>132</v>
      </c>
      <c r="L2" s="245">
        <v>77</v>
      </c>
      <c r="M2" s="586">
        <v>76</v>
      </c>
      <c r="N2" s="266">
        <v>69</v>
      </c>
      <c r="O2" s="617">
        <v>95</v>
      </c>
      <c r="P2" s="275">
        <v>69</v>
      </c>
      <c r="Q2" s="13" t="s">
        <v>583</v>
      </c>
      <c r="R2" s="13" t="s">
        <v>584</v>
      </c>
      <c r="S2" s="13" t="s">
        <v>585</v>
      </c>
      <c r="T2" s="13" t="s">
        <v>586</v>
      </c>
      <c r="U2" s="13" t="s">
        <v>587</v>
      </c>
      <c r="V2" s="13" t="s">
        <v>588</v>
      </c>
      <c r="W2" s="245">
        <v>40</v>
      </c>
      <c r="X2" s="617">
        <f>W2+W3</f>
        <v>61</v>
      </c>
      <c r="Y2" s="586">
        <f>W2+W3</f>
        <v>61</v>
      </c>
      <c r="Z2" s="24" t="s">
        <v>589</v>
      </c>
      <c r="AA2" s="24" t="s">
        <v>590</v>
      </c>
      <c r="AB2" s="41">
        <v>82.08</v>
      </c>
      <c r="AC2" s="20">
        <v>78</v>
      </c>
      <c r="AD2" s="20">
        <v>8.3000000000000007</v>
      </c>
      <c r="AE2" s="20" t="s">
        <v>591</v>
      </c>
      <c r="AF2" s="20">
        <v>0.46</v>
      </c>
      <c r="AG2" s="20" t="s">
        <v>592</v>
      </c>
      <c r="AH2" s="20">
        <v>2.0000000000000001E-4</v>
      </c>
      <c r="AI2" s="598" t="s">
        <v>593</v>
      </c>
      <c r="AJ2" s="16">
        <v>78</v>
      </c>
      <c r="AK2" s="16" t="s">
        <v>594</v>
      </c>
      <c r="AL2" s="16" t="s">
        <v>595</v>
      </c>
      <c r="AM2" s="239"/>
      <c r="AN2" s="595" t="s">
        <v>596</v>
      </c>
      <c r="AO2" s="13">
        <v>15</v>
      </c>
      <c r="AP2" s="13">
        <v>81</v>
      </c>
      <c r="AQ2" s="13">
        <v>59</v>
      </c>
      <c r="AR2" s="13" t="s">
        <v>597</v>
      </c>
      <c r="AS2" s="586" t="s">
        <v>598</v>
      </c>
      <c r="AT2" s="11" t="s">
        <v>52</v>
      </c>
      <c r="AU2" s="11" t="s">
        <v>52</v>
      </c>
      <c r="AV2" s="596" t="s">
        <v>52</v>
      </c>
      <c r="AW2" s="11">
        <v>88</v>
      </c>
      <c r="AX2" s="13" t="s">
        <v>599</v>
      </c>
      <c r="AY2" s="13" t="s">
        <v>600</v>
      </c>
      <c r="AZ2" s="13" t="s">
        <v>52</v>
      </c>
      <c r="BA2" s="13" t="s">
        <v>601</v>
      </c>
      <c r="BB2" s="13" t="s">
        <v>602</v>
      </c>
      <c r="BC2" s="13" t="s">
        <v>603</v>
      </c>
      <c r="BD2" s="13" t="s">
        <v>604</v>
      </c>
      <c r="BE2" s="13" t="s">
        <v>605</v>
      </c>
      <c r="BF2" s="13" t="s">
        <v>601</v>
      </c>
      <c r="BG2" s="13" t="s">
        <v>606</v>
      </c>
      <c r="BH2" s="13" t="s">
        <v>607</v>
      </c>
      <c r="BI2" s="13" t="s">
        <v>608</v>
      </c>
      <c r="BJ2" s="13" t="s">
        <v>609</v>
      </c>
      <c r="BK2" s="13">
        <v>0</v>
      </c>
      <c r="BL2" s="13" t="s">
        <v>605</v>
      </c>
      <c r="BM2" s="13" t="s">
        <v>52</v>
      </c>
      <c r="BN2" s="13" t="s">
        <v>52</v>
      </c>
      <c r="BO2" s="13" t="s">
        <v>52</v>
      </c>
      <c r="BP2" s="588" t="s">
        <v>52</v>
      </c>
      <c r="BQ2" s="588" t="s">
        <v>52</v>
      </c>
      <c r="BR2" s="588" t="s">
        <v>610</v>
      </c>
      <c r="BS2" s="569" t="s">
        <v>611</v>
      </c>
      <c r="BT2" s="53"/>
    </row>
    <row r="3" spans="1:72" s="8" customFormat="1" ht="15" customHeight="1">
      <c r="A3" s="638"/>
      <c r="B3" s="588"/>
      <c r="C3" s="632"/>
      <c r="D3" s="588"/>
      <c r="E3" s="588"/>
      <c r="F3" s="22" t="s">
        <v>489</v>
      </c>
      <c r="G3" s="590"/>
      <c r="H3" s="612"/>
      <c r="I3" s="685"/>
      <c r="J3" s="234">
        <v>44</v>
      </c>
      <c r="K3" s="587"/>
      <c r="L3" s="245">
        <v>75</v>
      </c>
      <c r="M3" s="587"/>
      <c r="N3" s="266">
        <v>26</v>
      </c>
      <c r="O3" s="618"/>
      <c r="P3" s="275">
        <v>26</v>
      </c>
      <c r="Q3" s="13" t="s">
        <v>612</v>
      </c>
      <c r="R3" s="13" t="s">
        <v>613</v>
      </c>
      <c r="S3" s="13" t="s">
        <v>614</v>
      </c>
      <c r="T3" s="13" t="s">
        <v>615</v>
      </c>
      <c r="U3" s="13" t="s">
        <v>52</v>
      </c>
      <c r="V3" s="13" t="s">
        <v>616</v>
      </c>
      <c r="W3" s="245">
        <v>21</v>
      </c>
      <c r="X3" s="618"/>
      <c r="Y3" s="587"/>
      <c r="Z3" s="24" t="s">
        <v>617</v>
      </c>
      <c r="AA3" s="24" t="s">
        <v>618</v>
      </c>
      <c r="AB3" s="41">
        <v>45.599999999999994</v>
      </c>
      <c r="AC3" s="20">
        <v>38</v>
      </c>
      <c r="AD3" s="20">
        <v>4.3</v>
      </c>
      <c r="AE3" s="20" t="s">
        <v>619</v>
      </c>
      <c r="AF3" s="19" t="s">
        <v>52</v>
      </c>
      <c r="AG3" s="19" t="s">
        <v>52</v>
      </c>
      <c r="AH3" s="19" t="s">
        <v>52</v>
      </c>
      <c r="AI3" s="611"/>
      <c r="AJ3" s="16">
        <v>38</v>
      </c>
      <c r="AK3" s="16" t="s">
        <v>620</v>
      </c>
      <c r="AL3" s="17" t="s">
        <v>621</v>
      </c>
      <c r="AM3" s="17"/>
      <c r="AN3" s="595"/>
      <c r="AO3" s="13" t="s">
        <v>52</v>
      </c>
      <c r="AP3" s="13" t="s">
        <v>52</v>
      </c>
      <c r="AQ3" s="13" t="s">
        <v>52</v>
      </c>
      <c r="AR3" s="13" t="s">
        <v>52</v>
      </c>
      <c r="AS3" s="587"/>
      <c r="AT3" s="11" t="s">
        <v>52</v>
      </c>
      <c r="AU3" s="11" t="s">
        <v>52</v>
      </c>
      <c r="AV3" s="597"/>
      <c r="AW3" s="11">
        <v>44</v>
      </c>
      <c r="AX3" s="13" t="s">
        <v>623</v>
      </c>
      <c r="AY3" s="13" t="s">
        <v>624</v>
      </c>
      <c r="AZ3" s="13" t="s">
        <v>52</v>
      </c>
      <c r="BA3" s="13" t="s">
        <v>625</v>
      </c>
      <c r="BB3" s="13" t="s">
        <v>626</v>
      </c>
      <c r="BC3" s="13" t="s">
        <v>626</v>
      </c>
      <c r="BD3" s="13" t="s">
        <v>624</v>
      </c>
      <c r="BE3" s="13" t="s">
        <v>625</v>
      </c>
      <c r="BF3" s="13" t="s">
        <v>626</v>
      </c>
      <c r="BG3" s="13" t="s">
        <v>627</v>
      </c>
      <c r="BH3" s="13" t="s">
        <v>608</v>
      </c>
      <c r="BI3" s="13" t="s">
        <v>608</v>
      </c>
      <c r="BJ3" s="13" t="s">
        <v>626</v>
      </c>
      <c r="BK3" s="13" t="s">
        <v>625</v>
      </c>
      <c r="BL3" s="13">
        <v>0</v>
      </c>
      <c r="BM3" s="13" t="s">
        <v>52</v>
      </c>
      <c r="BN3" s="13" t="s">
        <v>52</v>
      </c>
      <c r="BO3" s="13" t="s">
        <v>52</v>
      </c>
      <c r="BP3" s="588"/>
      <c r="BQ3" s="588"/>
      <c r="BR3" s="588"/>
      <c r="BS3" s="570"/>
      <c r="BT3" s="53"/>
    </row>
    <row r="4" spans="1:72" s="8" customFormat="1" ht="15" customHeight="1">
      <c r="A4" s="640" t="s">
        <v>1738</v>
      </c>
      <c r="B4" s="642" t="s">
        <v>1925</v>
      </c>
      <c r="C4" s="643" t="s">
        <v>1924</v>
      </c>
      <c r="D4" s="642" t="s">
        <v>1923</v>
      </c>
      <c r="E4" s="642" t="s">
        <v>1922</v>
      </c>
      <c r="F4" s="26" t="s">
        <v>488</v>
      </c>
      <c r="G4" s="633" t="s">
        <v>581</v>
      </c>
      <c r="H4" s="585" t="s">
        <v>1921</v>
      </c>
      <c r="I4" s="585" t="s">
        <v>1920</v>
      </c>
      <c r="J4" s="234">
        <v>78</v>
      </c>
      <c r="K4" s="586">
        <v>116</v>
      </c>
      <c r="L4" s="245" t="s">
        <v>52</v>
      </c>
      <c r="M4" s="586" t="s">
        <v>52</v>
      </c>
      <c r="N4" s="266" t="s">
        <v>52</v>
      </c>
      <c r="O4" s="617" t="s">
        <v>52</v>
      </c>
      <c r="P4" s="275" t="s">
        <v>52</v>
      </c>
      <c r="Q4" s="22" t="s">
        <v>1913</v>
      </c>
      <c r="R4" s="11" t="s">
        <v>622</v>
      </c>
      <c r="S4" s="13" t="s">
        <v>52</v>
      </c>
      <c r="T4" s="13" t="s">
        <v>52</v>
      </c>
      <c r="U4" s="13" t="s">
        <v>52</v>
      </c>
      <c r="V4" s="13" t="s">
        <v>52</v>
      </c>
      <c r="W4" s="245" t="s">
        <v>52</v>
      </c>
      <c r="X4" s="617" t="s">
        <v>52</v>
      </c>
      <c r="Y4" s="586" t="s">
        <v>52</v>
      </c>
      <c r="Z4" s="24" t="s">
        <v>1919</v>
      </c>
      <c r="AA4" s="24" t="s">
        <v>1918</v>
      </c>
      <c r="AB4" s="41">
        <f>43.4*(365/12)</f>
        <v>1320.0833333333333</v>
      </c>
      <c r="AC4" s="22">
        <v>78</v>
      </c>
      <c r="AD4" s="22">
        <v>8.3000000000000007</v>
      </c>
      <c r="AE4" s="21" t="s">
        <v>1917</v>
      </c>
      <c r="AF4" s="11">
        <v>0.495</v>
      </c>
      <c r="AG4" s="11" t="s">
        <v>1916</v>
      </c>
      <c r="AH4" s="11">
        <v>4.0000000000000002E-4</v>
      </c>
      <c r="AI4" s="594" t="s">
        <v>1915</v>
      </c>
      <c r="AJ4" s="43" t="s">
        <v>52</v>
      </c>
      <c r="AK4" s="43" t="s">
        <v>52</v>
      </c>
      <c r="AL4" s="43" t="s">
        <v>52</v>
      </c>
      <c r="AM4" s="240"/>
      <c r="AN4" s="595" t="s">
        <v>52</v>
      </c>
      <c r="AO4" s="13" t="s">
        <v>52</v>
      </c>
      <c r="AP4" s="13" t="s">
        <v>52</v>
      </c>
      <c r="AQ4" s="13" t="s">
        <v>52</v>
      </c>
      <c r="AR4" s="13" t="s">
        <v>52</v>
      </c>
      <c r="AS4" s="586" t="s">
        <v>52</v>
      </c>
      <c r="AT4" s="11" t="s">
        <v>52</v>
      </c>
      <c r="AU4" s="11" t="s">
        <v>52</v>
      </c>
      <c r="AV4" s="596" t="s">
        <v>52</v>
      </c>
      <c r="AW4" s="11" t="s">
        <v>52</v>
      </c>
      <c r="AX4" s="13" t="s">
        <v>52</v>
      </c>
      <c r="AY4" s="13" t="s">
        <v>52</v>
      </c>
      <c r="AZ4" s="13" t="s">
        <v>52</v>
      </c>
      <c r="BA4" s="13" t="s">
        <v>52</v>
      </c>
      <c r="BB4" s="13" t="s">
        <v>52</v>
      </c>
      <c r="BC4" s="13" t="s">
        <v>52</v>
      </c>
      <c r="BD4" s="13" t="s">
        <v>52</v>
      </c>
      <c r="BE4" s="13" t="s">
        <v>52</v>
      </c>
      <c r="BF4" s="13" t="s">
        <v>52</v>
      </c>
      <c r="BG4" s="13" t="s">
        <v>52</v>
      </c>
      <c r="BH4" s="13" t="s">
        <v>52</v>
      </c>
      <c r="BI4" s="13" t="s">
        <v>52</v>
      </c>
      <c r="BJ4" s="13" t="s">
        <v>52</v>
      </c>
      <c r="BK4" s="13" t="s">
        <v>52</v>
      </c>
      <c r="BL4" s="13" t="s">
        <v>52</v>
      </c>
      <c r="BM4" s="13" t="s">
        <v>52</v>
      </c>
      <c r="BN4" s="13" t="s">
        <v>52</v>
      </c>
      <c r="BO4" s="13" t="s">
        <v>52</v>
      </c>
      <c r="BP4" s="588" t="s">
        <v>52</v>
      </c>
      <c r="BQ4" s="588" t="s">
        <v>52</v>
      </c>
      <c r="BR4" s="588" t="s">
        <v>610</v>
      </c>
      <c r="BS4" s="569" t="s">
        <v>1914</v>
      </c>
      <c r="BT4" s="53"/>
    </row>
    <row r="5" spans="1:72" s="8" customFormat="1" ht="15" customHeight="1">
      <c r="A5" s="641"/>
      <c r="B5" s="642"/>
      <c r="C5" s="644"/>
      <c r="D5" s="642"/>
      <c r="E5" s="642"/>
      <c r="F5" s="26" t="s">
        <v>489</v>
      </c>
      <c r="G5" s="634"/>
      <c r="H5" s="585"/>
      <c r="I5" s="585"/>
      <c r="J5" s="234">
        <v>38</v>
      </c>
      <c r="K5" s="587"/>
      <c r="L5" s="245" t="s">
        <v>52</v>
      </c>
      <c r="M5" s="587"/>
      <c r="N5" s="266" t="s">
        <v>52</v>
      </c>
      <c r="O5" s="618"/>
      <c r="P5" s="275" t="s">
        <v>52</v>
      </c>
      <c r="Q5" s="22" t="s">
        <v>1913</v>
      </c>
      <c r="R5" s="11" t="s">
        <v>622</v>
      </c>
      <c r="S5" s="13" t="s">
        <v>52</v>
      </c>
      <c r="T5" s="13" t="s">
        <v>52</v>
      </c>
      <c r="U5" s="13" t="s">
        <v>52</v>
      </c>
      <c r="V5" s="13" t="s">
        <v>52</v>
      </c>
      <c r="W5" s="245" t="s">
        <v>52</v>
      </c>
      <c r="X5" s="618"/>
      <c r="Y5" s="587"/>
      <c r="Z5" s="24" t="s">
        <v>1912</v>
      </c>
      <c r="AA5" s="24" t="s">
        <v>1911</v>
      </c>
      <c r="AB5" s="41">
        <f>42*(365/12)</f>
        <v>1277.5</v>
      </c>
      <c r="AC5" s="22">
        <v>38</v>
      </c>
      <c r="AD5" s="22">
        <v>4.3</v>
      </c>
      <c r="AE5" s="21" t="s">
        <v>1910</v>
      </c>
      <c r="AF5" s="19" t="s">
        <v>52</v>
      </c>
      <c r="AG5" s="19" t="s">
        <v>52</v>
      </c>
      <c r="AH5" s="19" t="s">
        <v>52</v>
      </c>
      <c r="AI5" s="594"/>
      <c r="AJ5" s="43" t="s">
        <v>52</v>
      </c>
      <c r="AK5" s="43" t="s">
        <v>52</v>
      </c>
      <c r="AL5" s="77" t="s">
        <v>52</v>
      </c>
      <c r="AM5" s="77"/>
      <c r="AN5" s="595"/>
      <c r="AO5" s="13" t="s">
        <v>52</v>
      </c>
      <c r="AP5" s="13" t="s">
        <v>52</v>
      </c>
      <c r="AQ5" s="13" t="s">
        <v>52</v>
      </c>
      <c r="AR5" s="13" t="s">
        <v>52</v>
      </c>
      <c r="AS5" s="587"/>
      <c r="AT5" s="11" t="s">
        <v>52</v>
      </c>
      <c r="AU5" s="11" t="s">
        <v>52</v>
      </c>
      <c r="AV5" s="597"/>
      <c r="AW5" s="11" t="s">
        <v>52</v>
      </c>
      <c r="AX5" s="13" t="s">
        <v>52</v>
      </c>
      <c r="AY5" s="13" t="s">
        <v>52</v>
      </c>
      <c r="AZ5" s="13" t="s">
        <v>52</v>
      </c>
      <c r="BA5" s="13" t="s">
        <v>52</v>
      </c>
      <c r="BB5" s="13" t="s">
        <v>52</v>
      </c>
      <c r="BC5" s="13" t="s">
        <v>52</v>
      </c>
      <c r="BD5" s="13" t="s">
        <v>52</v>
      </c>
      <c r="BE5" s="13" t="s">
        <v>52</v>
      </c>
      <c r="BF5" s="13" t="s">
        <v>52</v>
      </c>
      <c r="BG5" s="13" t="s">
        <v>52</v>
      </c>
      <c r="BH5" s="13" t="s">
        <v>52</v>
      </c>
      <c r="BI5" s="13" t="s">
        <v>52</v>
      </c>
      <c r="BJ5" s="13" t="s">
        <v>52</v>
      </c>
      <c r="BK5" s="13" t="s">
        <v>52</v>
      </c>
      <c r="BL5" s="13" t="s">
        <v>52</v>
      </c>
      <c r="BM5" s="13" t="s">
        <v>52</v>
      </c>
      <c r="BN5" s="13" t="s">
        <v>52</v>
      </c>
      <c r="BO5" s="13" t="s">
        <v>52</v>
      </c>
      <c r="BP5" s="588"/>
      <c r="BQ5" s="588"/>
      <c r="BR5" s="588"/>
      <c r="BS5" s="570"/>
      <c r="BT5" s="53"/>
    </row>
    <row r="6" spans="1:72" s="8" customFormat="1" ht="15" customHeight="1">
      <c r="A6" s="637" t="s">
        <v>1909</v>
      </c>
      <c r="B6" s="588" t="s">
        <v>490</v>
      </c>
      <c r="C6" s="631" t="s">
        <v>345</v>
      </c>
      <c r="D6" s="588" t="s">
        <v>487</v>
      </c>
      <c r="E6" s="569" t="s">
        <v>628</v>
      </c>
      <c r="F6" s="22" t="s">
        <v>488</v>
      </c>
      <c r="G6" s="589" t="s">
        <v>581</v>
      </c>
      <c r="H6" s="677" t="s">
        <v>629</v>
      </c>
      <c r="I6" s="685" t="s">
        <v>582</v>
      </c>
      <c r="J6" s="235">
        <v>15</v>
      </c>
      <c r="K6" s="569">
        <v>16</v>
      </c>
      <c r="L6" s="21">
        <v>74</v>
      </c>
      <c r="M6" s="664">
        <v>74.25</v>
      </c>
      <c r="N6" s="74">
        <v>10</v>
      </c>
      <c r="O6" s="617">
        <v>10</v>
      </c>
      <c r="P6" s="246">
        <v>10</v>
      </c>
      <c r="Q6" s="11" t="s">
        <v>630</v>
      </c>
      <c r="R6" s="11" t="s">
        <v>631</v>
      </c>
      <c r="S6" s="11" t="s">
        <v>632</v>
      </c>
      <c r="T6" s="11" t="s">
        <v>52</v>
      </c>
      <c r="U6" s="11" t="s">
        <v>52</v>
      </c>
      <c r="V6" s="11" t="s">
        <v>633</v>
      </c>
      <c r="W6" s="235">
        <v>4</v>
      </c>
      <c r="X6" s="617">
        <f>W6+W7</f>
        <v>5</v>
      </c>
      <c r="Y6" s="586">
        <f>W6+W7</f>
        <v>5</v>
      </c>
      <c r="Z6" s="11" t="s">
        <v>634</v>
      </c>
      <c r="AA6" s="11" t="s">
        <v>635</v>
      </c>
      <c r="AB6" s="21">
        <v>502</v>
      </c>
      <c r="AC6" s="16" t="s">
        <v>52</v>
      </c>
      <c r="AD6" s="16" t="s">
        <v>52</v>
      </c>
      <c r="AE6" s="16" t="s">
        <v>52</v>
      </c>
      <c r="AF6" s="16" t="s">
        <v>52</v>
      </c>
      <c r="AG6" s="16" t="s">
        <v>52</v>
      </c>
      <c r="AH6" s="16" t="s">
        <v>52</v>
      </c>
      <c r="AI6" s="598" t="s">
        <v>52</v>
      </c>
      <c r="AJ6" s="16" t="s">
        <v>52</v>
      </c>
      <c r="AK6" s="16" t="s">
        <v>636</v>
      </c>
      <c r="AL6" s="286">
        <v>15</v>
      </c>
      <c r="AM6" s="287"/>
      <c r="AN6" s="607" t="s">
        <v>637</v>
      </c>
      <c r="AO6" s="11" t="s">
        <v>52</v>
      </c>
      <c r="AP6" s="11" t="s">
        <v>52</v>
      </c>
      <c r="AQ6" s="11" t="s">
        <v>52</v>
      </c>
      <c r="AR6" s="11" t="s">
        <v>52</v>
      </c>
      <c r="AS6" s="626" t="s">
        <v>52</v>
      </c>
      <c r="AT6" s="11" t="s">
        <v>52</v>
      </c>
      <c r="AU6" s="11" t="s">
        <v>52</v>
      </c>
      <c r="AV6" s="626" t="s">
        <v>52</v>
      </c>
      <c r="AW6" s="11">
        <v>15</v>
      </c>
      <c r="AX6" s="11" t="s">
        <v>52</v>
      </c>
      <c r="AY6" s="11" t="s">
        <v>52</v>
      </c>
      <c r="AZ6" s="11" t="s">
        <v>52</v>
      </c>
      <c r="BA6" s="11" t="s">
        <v>52</v>
      </c>
      <c r="BB6" s="11" t="s">
        <v>52</v>
      </c>
      <c r="BC6" s="11" t="s">
        <v>52</v>
      </c>
      <c r="BD6" s="11" t="s">
        <v>52</v>
      </c>
      <c r="BE6" s="11" t="s">
        <v>52</v>
      </c>
      <c r="BF6" s="11" t="s">
        <v>52</v>
      </c>
      <c r="BG6" s="11" t="s">
        <v>52</v>
      </c>
      <c r="BH6" s="11" t="s">
        <v>52</v>
      </c>
      <c r="BI6" s="11" t="s">
        <v>52</v>
      </c>
      <c r="BJ6" s="11" t="s">
        <v>52</v>
      </c>
      <c r="BK6" s="11" t="s">
        <v>52</v>
      </c>
      <c r="BL6" s="11" t="s">
        <v>52</v>
      </c>
      <c r="BM6" s="11" t="s">
        <v>52</v>
      </c>
      <c r="BN6" s="11" t="s">
        <v>52</v>
      </c>
      <c r="BO6" s="11" t="s">
        <v>52</v>
      </c>
      <c r="BP6" s="569" t="s">
        <v>52</v>
      </c>
      <c r="BQ6" s="569" t="s">
        <v>52</v>
      </c>
      <c r="BR6" s="690"/>
      <c r="BS6" s="690"/>
      <c r="BT6" s="53"/>
    </row>
    <row r="7" spans="1:72" s="8" customFormat="1" ht="15" customHeight="1">
      <c r="A7" s="638"/>
      <c r="B7" s="588"/>
      <c r="C7" s="632"/>
      <c r="D7" s="588"/>
      <c r="E7" s="570"/>
      <c r="F7" s="22" t="s">
        <v>489</v>
      </c>
      <c r="G7" s="590"/>
      <c r="H7" s="678"/>
      <c r="I7" s="685"/>
      <c r="J7" s="235">
        <v>1</v>
      </c>
      <c r="K7" s="570"/>
      <c r="L7" s="21">
        <v>78</v>
      </c>
      <c r="M7" s="665"/>
      <c r="N7" s="74">
        <v>0</v>
      </c>
      <c r="O7" s="618"/>
      <c r="P7" s="246">
        <v>0</v>
      </c>
      <c r="Q7" s="11" t="s">
        <v>638</v>
      </c>
      <c r="R7" s="11" t="s">
        <v>622</v>
      </c>
      <c r="S7" s="11" t="s">
        <v>639</v>
      </c>
      <c r="T7" s="11" t="s">
        <v>52</v>
      </c>
      <c r="U7" s="11" t="s">
        <v>52</v>
      </c>
      <c r="V7" s="11" t="s">
        <v>638</v>
      </c>
      <c r="W7" s="235">
        <v>1</v>
      </c>
      <c r="X7" s="618"/>
      <c r="Y7" s="587"/>
      <c r="Z7" s="11" t="s">
        <v>622</v>
      </c>
      <c r="AA7" s="11" t="s">
        <v>638</v>
      </c>
      <c r="AB7" s="21">
        <v>22.1</v>
      </c>
      <c r="AC7" s="16" t="s">
        <v>52</v>
      </c>
      <c r="AD7" s="16" t="s">
        <v>52</v>
      </c>
      <c r="AE7" s="16" t="s">
        <v>52</v>
      </c>
      <c r="AF7" s="19" t="s">
        <v>52</v>
      </c>
      <c r="AG7" s="19" t="s">
        <v>52</v>
      </c>
      <c r="AH7" s="19" t="s">
        <v>52</v>
      </c>
      <c r="AI7" s="611"/>
      <c r="AJ7" s="16" t="s">
        <v>52</v>
      </c>
      <c r="AK7" s="16" t="s">
        <v>640</v>
      </c>
      <c r="AL7" s="286">
        <v>1</v>
      </c>
      <c r="AM7" s="288"/>
      <c r="AN7" s="675"/>
      <c r="AO7" s="11" t="s">
        <v>52</v>
      </c>
      <c r="AP7" s="11" t="s">
        <v>52</v>
      </c>
      <c r="AQ7" s="11" t="s">
        <v>52</v>
      </c>
      <c r="AR7" s="11" t="s">
        <v>52</v>
      </c>
      <c r="AS7" s="682"/>
      <c r="AT7" s="11" t="s">
        <v>52</v>
      </c>
      <c r="AU7" s="11" t="s">
        <v>52</v>
      </c>
      <c r="AV7" s="682"/>
      <c r="AW7" s="11">
        <v>1</v>
      </c>
      <c r="AX7" s="11" t="s">
        <v>52</v>
      </c>
      <c r="AY7" s="11" t="s">
        <v>52</v>
      </c>
      <c r="AZ7" s="11" t="s">
        <v>52</v>
      </c>
      <c r="BA7" s="11" t="s">
        <v>52</v>
      </c>
      <c r="BB7" s="11" t="s">
        <v>52</v>
      </c>
      <c r="BC7" s="11" t="s">
        <v>52</v>
      </c>
      <c r="BD7" s="11" t="s">
        <v>52</v>
      </c>
      <c r="BE7" s="11" t="s">
        <v>52</v>
      </c>
      <c r="BF7" s="11" t="s">
        <v>52</v>
      </c>
      <c r="BG7" s="11" t="s">
        <v>52</v>
      </c>
      <c r="BH7" s="11" t="s">
        <v>52</v>
      </c>
      <c r="BI7" s="11" t="s">
        <v>52</v>
      </c>
      <c r="BJ7" s="11" t="s">
        <v>52</v>
      </c>
      <c r="BK7" s="11" t="s">
        <v>52</v>
      </c>
      <c r="BL7" s="11" t="s">
        <v>52</v>
      </c>
      <c r="BM7" s="11" t="s">
        <v>52</v>
      </c>
      <c r="BN7" s="11" t="s">
        <v>52</v>
      </c>
      <c r="BO7" s="11" t="s">
        <v>52</v>
      </c>
      <c r="BP7" s="570"/>
      <c r="BQ7" s="570"/>
      <c r="BR7" s="691"/>
      <c r="BS7" s="691"/>
      <c r="BT7" s="53"/>
    </row>
    <row r="8" spans="1:72" s="8" customFormat="1" ht="15" customHeight="1">
      <c r="A8" s="637" t="s">
        <v>1909</v>
      </c>
      <c r="B8" s="588" t="s">
        <v>490</v>
      </c>
      <c r="C8" s="631" t="s">
        <v>345</v>
      </c>
      <c r="D8" s="588" t="s">
        <v>487</v>
      </c>
      <c r="E8" s="569" t="s">
        <v>641</v>
      </c>
      <c r="F8" s="22" t="s">
        <v>488</v>
      </c>
      <c r="G8" s="589" t="s">
        <v>581</v>
      </c>
      <c r="H8" s="677" t="s">
        <v>642</v>
      </c>
      <c r="I8" s="685" t="s">
        <v>582</v>
      </c>
      <c r="J8" s="235">
        <v>73</v>
      </c>
      <c r="K8" s="569">
        <v>116</v>
      </c>
      <c r="L8" s="21">
        <v>77</v>
      </c>
      <c r="M8" s="664">
        <v>76.258620689655174</v>
      </c>
      <c r="N8" s="74">
        <v>59</v>
      </c>
      <c r="O8" s="617">
        <v>85</v>
      </c>
      <c r="P8" s="246">
        <v>59</v>
      </c>
      <c r="Q8" s="11" t="s">
        <v>643</v>
      </c>
      <c r="R8" s="11" t="s">
        <v>644</v>
      </c>
      <c r="S8" s="11" t="s">
        <v>645</v>
      </c>
      <c r="T8" s="11" t="s">
        <v>52</v>
      </c>
      <c r="U8" s="11" t="s">
        <v>52</v>
      </c>
      <c r="V8" s="11" t="s">
        <v>646</v>
      </c>
      <c r="W8" s="235">
        <v>37</v>
      </c>
      <c r="X8" s="617">
        <f>W8+W9</f>
        <v>57</v>
      </c>
      <c r="Y8" s="586">
        <f>W8+W9</f>
        <v>57</v>
      </c>
      <c r="Z8" s="11" t="s">
        <v>647</v>
      </c>
      <c r="AA8" s="11" t="s">
        <v>648</v>
      </c>
      <c r="AB8" s="21">
        <v>62</v>
      </c>
      <c r="AC8" s="16" t="s">
        <v>52</v>
      </c>
      <c r="AD8" s="16" t="s">
        <v>52</v>
      </c>
      <c r="AE8" s="16" t="s">
        <v>52</v>
      </c>
      <c r="AF8" s="16" t="s">
        <v>52</v>
      </c>
      <c r="AG8" s="16" t="s">
        <v>52</v>
      </c>
      <c r="AH8" s="16" t="s">
        <v>52</v>
      </c>
      <c r="AI8" s="598" t="s">
        <v>52</v>
      </c>
      <c r="AJ8" s="16" t="s">
        <v>52</v>
      </c>
      <c r="AK8" s="16" t="s">
        <v>52</v>
      </c>
      <c r="AL8" s="16" t="s">
        <v>52</v>
      </c>
      <c r="AM8" s="249"/>
      <c r="AN8" s="683" t="s">
        <v>52</v>
      </c>
      <c r="AO8" s="11" t="s">
        <v>52</v>
      </c>
      <c r="AP8" s="11" t="s">
        <v>52</v>
      </c>
      <c r="AQ8" s="11" t="s">
        <v>52</v>
      </c>
      <c r="AR8" s="11" t="s">
        <v>52</v>
      </c>
      <c r="AS8" s="626" t="s">
        <v>52</v>
      </c>
      <c r="AT8" s="11" t="s">
        <v>52</v>
      </c>
      <c r="AU8" s="11" t="s">
        <v>52</v>
      </c>
      <c r="AV8" s="626" t="s">
        <v>52</v>
      </c>
      <c r="AW8" s="11">
        <v>73</v>
      </c>
      <c r="AX8" s="11" t="s">
        <v>52</v>
      </c>
      <c r="AY8" s="11" t="s">
        <v>52</v>
      </c>
      <c r="AZ8" s="11" t="s">
        <v>52</v>
      </c>
      <c r="BA8" s="11" t="s">
        <v>52</v>
      </c>
      <c r="BB8" s="11" t="s">
        <v>52</v>
      </c>
      <c r="BC8" s="11" t="s">
        <v>52</v>
      </c>
      <c r="BD8" s="11" t="s">
        <v>52</v>
      </c>
      <c r="BE8" s="11" t="s">
        <v>52</v>
      </c>
      <c r="BF8" s="11" t="s">
        <v>52</v>
      </c>
      <c r="BG8" s="11" t="s">
        <v>52</v>
      </c>
      <c r="BH8" s="11" t="s">
        <v>52</v>
      </c>
      <c r="BI8" s="11" t="s">
        <v>52</v>
      </c>
      <c r="BJ8" s="11" t="s">
        <v>52</v>
      </c>
      <c r="BK8" s="11" t="s">
        <v>52</v>
      </c>
      <c r="BL8" s="11" t="s">
        <v>52</v>
      </c>
      <c r="BM8" s="11" t="s">
        <v>52</v>
      </c>
      <c r="BN8" s="11" t="s">
        <v>52</v>
      </c>
      <c r="BO8" s="11" t="s">
        <v>52</v>
      </c>
      <c r="BP8" s="569" t="s">
        <v>52</v>
      </c>
      <c r="BQ8" s="569" t="s">
        <v>52</v>
      </c>
      <c r="BR8" s="690"/>
      <c r="BS8" s="690"/>
      <c r="BT8" s="53"/>
    </row>
    <row r="9" spans="1:72" s="8" customFormat="1" ht="15" customHeight="1">
      <c r="A9" s="638"/>
      <c r="B9" s="588"/>
      <c r="C9" s="632"/>
      <c r="D9" s="588"/>
      <c r="E9" s="570"/>
      <c r="F9" s="22" t="s">
        <v>489</v>
      </c>
      <c r="G9" s="590"/>
      <c r="H9" s="678"/>
      <c r="I9" s="685"/>
      <c r="J9" s="235">
        <v>43</v>
      </c>
      <c r="K9" s="570"/>
      <c r="L9" s="21">
        <v>75</v>
      </c>
      <c r="M9" s="665"/>
      <c r="N9" s="74">
        <v>26</v>
      </c>
      <c r="O9" s="618"/>
      <c r="P9" s="246">
        <v>26</v>
      </c>
      <c r="Q9" s="11" t="s">
        <v>649</v>
      </c>
      <c r="R9" s="11" t="s">
        <v>650</v>
      </c>
      <c r="S9" s="11" t="s">
        <v>651</v>
      </c>
      <c r="T9" s="11" t="s">
        <v>52</v>
      </c>
      <c r="U9" s="11" t="s">
        <v>52</v>
      </c>
      <c r="V9" s="11" t="s">
        <v>652</v>
      </c>
      <c r="W9" s="235">
        <v>20</v>
      </c>
      <c r="X9" s="618"/>
      <c r="Y9" s="587"/>
      <c r="Z9" s="11" t="s">
        <v>653</v>
      </c>
      <c r="AA9" s="11" t="s">
        <v>654</v>
      </c>
      <c r="AB9" s="21">
        <v>44.5</v>
      </c>
      <c r="AC9" s="16" t="s">
        <v>52</v>
      </c>
      <c r="AD9" s="16" t="s">
        <v>52</v>
      </c>
      <c r="AE9" s="16" t="s">
        <v>52</v>
      </c>
      <c r="AF9" s="19" t="s">
        <v>52</v>
      </c>
      <c r="AG9" s="19" t="s">
        <v>52</v>
      </c>
      <c r="AH9" s="19" t="s">
        <v>52</v>
      </c>
      <c r="AI9" s="611"/>
      <c r="AJ9" s="16" t="s">
        <v>52</v>
      </c>
      <c r="AK9" s="16" t="s">
        <v>52</v>
      </c>
      <c r="AL9" s="16" t="s">
        <v>52</v>
      </c>
      <c r="AM9" s="250"/>
      <c r="AN9" s="684"/>
      <c r="AO9" s="11" t="s">
        <v>52</v>
      </c>
      <c r="AP9" s="11" t="s">
        <v>52</v>
      </c>
      <c r="AQ9" s="11" t="s">
        <v>52</v>
      </c>
      <c r="AR9" s="11" t="s">
        <v>52</v>
      </c>
      <c r="AS9" s="682"/>
      <c r="AT9" s="11" t="s">
        <v>52</v>
      </c>
      <c r="AU9" s="11" t="s">
        <v>52</v>
      </c>
      <c r="AV9" s="682"/>
      <c r="AW9" s="11">
        <v>43</v>
      </c>
      <c r="AX9" s="11" t="s">
        <v>52</v>
      </c>
      <c r="AY9" s="11" t="s">
        <v>52</v>
      </c>
      <c r="AZ9" s="11" t="s">
        <v>52</v>
      </c>
      <c r="BA9" s="11" t="s">
        <v>52</v>
      </c>
      <c r="BB9" s="11" t="s">
        <v>52</v>
      </c>
      <c r="BC9" s="11" t="s">
        <v>52</v>
      </c>
      <c r="BD9" s="11" t="s">
        <v>52</v>
      </c>
      <c r="BE9" s="11" t="s">
        <v>52</v>
      </c>
      <c r="BF9" s="11" t="s">
        <v>52</v>
      </c>
      <c r="BG9" s="11" t="s">
        <v>52</v>
      </c>
      <c r="BH9" s="11" t="s">
        <v>52</v>
      </c>
      <c r="BI9" s="11" t="s">
        <v>52</v>
      </c>
      <c r="BJ9" s="11" t="s">
        <v>52</v>
      </c>
      <c r="BK9" s="11" t="s">
        <v>52</v>
      </c>
      <c r="BL9" s="11" t="s">
        <v>52</v>
      </c>
      <c r="BM9" s="11" t="s">
        <v>52</v>
      </c>
      <c r="BN9" s="11" t="s">
        <v>52</v>
      </c>
      <c r="BO9" s="11" t="s">
        <v>52</v>
      </c>
      <c r="BP9" s="570"/>
      <c r="BQ9" s="570"/>
      <c r="BR9" s="691"/>
      <c r="BS9" s="691"/>
      <c r="BT9" s="53"/>
    </row>
    <row r="10" spans="1:72" s="8" customFormat="1" ht="15" customHeight="1">
      <c r="A10" s="640" t="s">
        <v>1738</v>
      </c>
      <c r="B10" s="642" t="s">
        <v>1908</v>
      </c>
      <c r="C10" s="643" t="s">
        <v>1907</v>
      </c>
      <c r="D10" s="642" t="s">
        <v>1906</v>
      </c>
      <c r="E10" s="642" t="s">
        <v>1482</v>
      </c>
      <c r="F10" s="26" t="s">
        <v>482</v>
      </c>
      <c r="G10" s="633" t="s">
        <v>1905</v>
      </c>
      <c r="H10" s="585" t="s">
        <v>1904</v>
      </c>
      <c r="I10" s="585" t="s">
        <v>1903</v>
      </c>
      <c r="J10" s="234">
        <f>42+65</f>
        <v>107</v>
      </c>
      <c r="K10" s="586">
        <v>213</v>
      </c>
      <c r="L10" s="245" t="s">
        <v>52</v>
      </c>
      <c r="M10" s="586" t="s">
        <v>52</v>
      </c>
      <c r="N10" s="266" t="s">
        <v>52</v>
      </c>
      <c r="O10" s="617" t="s">
        <v>52</v>
      </c>
      <c r="P10" s="275" t="s">
        <v>52</v>
      </c>
      <c r="Q10" s="13" t="s">
        <v>1902</v>
      </c>
      <c r="R10" s="54" t="s">
        <v>1894</v>
      </c>
      <c r="S10" s="13" t="s">
        <v>52</v>
      </c>
      <c r="T10" s="13" t="s">
        <v>52</v>
      </c>
      <c r="U10" s="13" t="s">
        <v>52</v>
      </c>
      <c r="V10" s="13" t="s">
        <v>52</v>
      </c>
      <c r="W10" s="245" t="s">
        <v>52</v>
      </c>
      <c r="X10" s="617" t="s">
        <v>52</v>
      </c>
      <c r="Y10" s="245"/>
      <c r="Z10" s="24" t="s">
        <v>52</v>
      </c>
      <c r="AA10" s="24" t="s">
        <v>52</v>
      </c>
      <c r="AB10" s="41">
        <f>6.7*28</f>
        <v>187.6</v>
      </c>
      <c r="AC10" s="22" t="s">
        <v>52</v>
      </c>
      <c r="AD10" s="22">
        <v>14.4</v>
      </c>
      <c r="AE10" s="21" t="s">
        <v>52</v>
      </c>
      <c r="AF10" s="11" t="s">
        <v>52</v>
      </c>
      <c r="AG10" s="11" t="s">
        <v>52</v>
      </c>
      <c r="AH10" s="11" t="s">
        <v>52</v>
      </c>
      <c r="AI10" s="594" t="s">
        <v>1901</v>
      </c>
      <c r="AJ10" s="43">
        <v>65</v>
      </c>
      <c r="AK10" s="43" t="s">
        <v>1900</v>
      </c>
      <c r="AL10" s="43" t="s">
        <v>1899</v>
      </c>
      <c r="AM10" s="240"/>
      <c r="AN10" s="595" t="s">
        <v>1898</v>
      </c>
      <c r="AO10" s="13" t="s">
        <v>52</v>
      </c>
      <c r="AP10" s="13" t="s">
        <v>52</v>
      </c>
      <c r="AQ10" s="13" t="s">
        <v>52</v>
      </c>
      <c r="AR10" s="13" t="s">
        <v>52</v>
      </c>
      <c r="AS10" s="586" t="s">
        <v>52</v>
      </c>
      <c r="AT10" s="11" t="s">
        <v>52</v>
      </c>
      <c r="AU10" s="11" t="s">
        <v>52</v>
      </c>
      <c r="AV10" s="596" t="s">
        <v>52</v>
      </c>
      <c r="AW10" s="11" t="s">
        <v>52</v>
      </c>
      <c r="AX10" s="13" t="s">
        <v>52</v>
      </c>
      <c r="AY10" s="13" t="s">
        <v>52</v>
      </c>
      <c r="AZ10" s="13" t="s">
        <v>52</v>
      </c>
      <c r="BA10" s="13" t="s">
        <v>52</v>
      </c>
      <c r="BB10" s="13" t="s">
        <v>52</v>
      </c>
      <c r="BC10" s="13" t="s">
        <v>52</v>
      </c>
      <c r="BD10" s="13" t="s">
        <v>52</v>
      </c>
      <c r="BE10" s="13" t="s">
        <v>52</v>
      </c>
      <c r="BF10" s="13" t="s">
        <v>52</v>
      </c>
      <c r="BG10" s="13" t="s">
        <v>52</v>
      </c>
      <c r="BH10" s="13" t="s">
        <v>52</v>
      </c>
      <c r="BI10" s="13" t="s">
        <v>52</v>
      </c>
      <c r="BJ10" s="13" t="s">
        <v>52</v>
      </c>
      <c r="BK10" s="13" t="s">
        <v>52</v>
      </c>
      <c r="BL10" s="13" t="s">
        <v>52</v>
      </c>
      <c r="BM10" s="13" t="s">
        <v>52</v>
      </c>
      <c r="BN10" s="13" t="s">
        <v>52</v>
      </c>
      <c r="BO10" s="13" t="s">
        <v>52</v>
      </c>
      <c r="BP10" s="588" t="s">
        <v>52</v>
      </c>
      <c r="BQ10" s="588" t="s">
        <v>52</v>
      </c>
      <c r="BR10" s="588" t="s">
        <v>610</v>
      </c>
      <c r="BS10" s="569" t="s">
        <v>1897</v>
      </c>
      <c r="BT10" s="53"/>
    </row>
    <row r="11" spans="1:72" s="8" customFormat="1" ht="15" customHeight="1">
      <c r="A11" s="641"/>
      <c r="B11" s="642"/>
      <c r="C11" s="644"/>
      <c r="D11" s="642"/>
      <c r="E11" s="642"/>
      <c r="F11" s="26" t="s">
        <v>1896</v>
      </c>
      <c r="G11" s="634"/>
      <c r="H11" s="585"/>
      <c r="I11" s="585"/>
      <c r="J11" s="234">
        <f>42+64</f>
        <v>106</v>
      </c>
      <c r="K11" s="587"/>
      <c r="L11" s="245" t="s">
        <v>52</v>
      </c>
      <c r="M11" s="587"/>
      <c r="N11" s="266" t="s">
        <v>52</v>
      </c>
      <c r="O11" s="618"/>
      <c r="P11" s="275" t="s">
        <v>52</v>
      </c>
      <c r="Q11" s="13" t="s">
        <v>1895</v>
      </c>
      <c r="R11" s="54" t="s">
        <v>1894</v>
      </c>
      <c r="S11" s="13" t="s">
        <v>52</v>
      </c>
      <c r="T11" s="13" t="s">
        <v>52</v>
      </c>
      <c r="U11" s="13" t="s">
        <v>52</v>
      </c>
      <c r="V11" s="13" t="s">
        <v>52</v>
      </c>
      <c r="W11" s="245" t="s">
        <v>52</v>
      </c>
      <c r="X11" s="618"/>
      <c r="Y11" s="245"/>
      <c r="Z11" s="24" t="s">
        <v>52</v>
      </c>
      <c r="AA11" s="24" t="s">
        <v>52</v>
      </c>
      <c r="AB11" s="41">
        <f>7.5*28</f>
        <v>210</v>
      </c>
      <c r="AC11" s="22" t="s">
        <v>52</v>
      </c>
      <c r="AD11" s="23">
        <v>13</v>
      </c>
      <c r="AE11" s="21" t="s">
        <v>52</v>
      </c>
      <c r="AF11" s="19" t="s">
        <v>52</v>
      </c>
      <c r="AG11" s="19" t="s">
        <v>52</v>
      </c>
      <c r="AH11" s="19" t="s">
        <v>52</v>
      </c>
      <c r="AI11" s="594"/>
      <c r="AJ11" s="43">
        <v>64</v>
      </c>
      <c r="AK11" s="77" t="s">
        <v>1893</v>
      </c>
      <c r="AL11" s="77" t="s">
        <v>1892</v>
      </c>
      <c r="AM11" s="77"/>
      <c r="AN11" s="595"/>
      <c r="AO11" s="13" t="s">
        <v>52</v>
      </c>
      <c r="AP11" s="13" t="s">
        <v>52</v>
      </c>
      <c r="AQ11" s="13" t="s">
        <v>52</v>
      </c>
      <c r="AR11" s="13" t="s">
        <v>52</v>
      </c>
      <c r="AS11" s="587"/>
      <c r="AT11" s="11" t="s">
        <v>52</v>
      </c>
      <c r="AU11" s="11" t="s">
        <v>52</v>
      </c>
      <c r="AV11" s="597"/>
      <c r="AW11" s="11" t="s">
        <v>52</v>
      </c>
      <c r="AX11" s="13" t="s">
        <v>52</v>
      </c>
      <c r="AY11" s="13" t="s">
        <v>52</v>
      </c>
      <c r="AZ11" s="13" t="s">
        <v>52</v>
      </c>
      <c r="BA11" s="13" t="s">
        <v>52</v>
      </c>
      <c r="BB11" s="13" t="s">
        <v>52</v>
      </c>
      <c r="BC11" s="13" t="s">
        <v>52</v>
      </c>
      <c r="BD11" s="13" t="s">
        <v>52</v>
      </c>
      <c r="BE11" s="13" t="s">
        <v>52</v>
      </c>
      <c r="BF11" s="13" t="s">
        <v>52</v>
      </c>
      <c r="BG11" s="13" t="s">
        <v>52</v>
      </c>
      <c r="BH11" s="13" t="s">
        <v>52</v>
      </c>
      <c r="BI11" s="13" t="s">
        <v>52</v>
      </c>
      <c r="BJ11" s="13" t="s">
        <v>52</v>
      </c>
      <c r="BK11" s="13" t="s">
        <v>52</v>
      </c>
      <c r="BL11" s="13" t="s">
        <v>52</v>
      </c>
      <c r="BM11" s="13" t="s">
        <v>52</v>
      </c>
      <c r="BN11" s="13" t="s">
        <v>52</v>
      </c>
      <c r="BO11" s="13" t="s">
        <v>52</v>
      </c>
      <c r="BP11" s="588"/>
      <c r="BQ11" s="588"/>
      <c r="BR11" s="588"/>
      <c r="BS11" s="570"/>
      <c r="BT11" s="53"/>
    </row>
    <row r="12" spans="1:72" s="8" customFormat="1" ht="15" customHeight="1">
      <c r="A12" s="637" t="s">
        <v>1883</v>
      </c>
      <c r="B12" s="588" t="s">
        <v>491</v>
      </c>
      <c r="C12" s="635" t="s">
        <v>655</v>
      </c>
      <c r="D12" s="588" t="s">
        <v>346</v>
      </c>
      <c r="E12" s="588" t="s">
        <v>656</v>
      </c>
      <c r="F12" s="54" t="s">
        <v>482</v>
      </c>
      <c r="G12" s="605" t="s">
        <v>657</v>
      </c>
      <c r="H12" s="605" t="s">
        <v>658</v>
      </c>
      <c r="I12" s="685" t="s">
        <v>659</v>
      </c>
      <c r="J12" s="235">
        <v>241</v>
      </c>
      <c r="K12" s="589">
        <v>399</v>
      </c>
      <c r="L12" s="235">
        <v>75</v>
      </c>
      <c r="M12" s="588">
        <v>75</v>
      </c>
      <c r="N12" s="74">
        <v>139</v>
      </c>
      <c r="O12" s="617">
        <v>233</v>
      </c>
      <c r="P12" s="246">
        <v>139</v>
      </c>
      <c r="Q12" s="59" t="s">
        <v>660</v>
      </c>
      <c r="R12" s="11" t="s">
        <v>622</v>
      </c>
      <c r="S12" s="11" t="s">
        <v>661</v>
      </c>
      <c r="T12" s="11" t="s">
        <v>662</v>
      </c>
      <c r="U12" s="11" t="s">
        <v>663</v>
      </c>
      <c r="V12" s="11" t="s">
        <v>664</v>
      </c>
      <c r="W12" s="235">
        <v>186</v>
      </c>
      <c r="X12" s="617">
        <f>W12+W13</f>
        <v>309</v>
      </c>
      <c r="Y12" s="235"/>
      <c r="Z12" s="11" t="s">
        <v>665</v>
      </c>
      <c r="AA12" s="11" t="s">
        <v>666</v>
      </c>
      <c r="AB12" s="54">
        <v>168</v>
      </c>
      <c r="AC12" s="16">
        <v>154</v>
      </c>
      <c r="AD12" s="16">
        <v>11.2</v>
      </c>
      <c r="AE12" s="16" t="s">
        <v>667</v>
      </c>
      <c r="AF12" s="16">
        <v>0.9</v>
      </c>
      <c r="AG12" s="16" t="s">
        <v>668</v>
      </c>
      <c r="AH12" s="16">
        <v>0.42699999999999999</v>
      </c>
      <c r="AI12" s="594" t="s">
        <v>669</v>
      </c>
      <c r="AJ12" s="16">
        <v>241</v>
      </c>
      <c r="AK12" s="16" t="s">
        <v>670</v>
      </c>
      <c r="AL12" s="16" t="s">
        <v>671</v>
      </c>
      <c r="AM12" s="239"/>
      <c r="AN12" s="593" t="s">
        <v>672</v>
      </c>
      <c r="AO12" s="11" t="s">
        <v>52</v>
      </c>
      <c r="AP12" s="11" t="s">
        <v>52</v>
      </c>
      <c r="AQ12" s="11" t="s">
        <v>52</v>
      </c>
      <c r="AR12" s="11" t="s">
        <v>52</v>
      </c>
      <c r="AS12" s="661" t="s">
        <v>52</v>
      </c>
      <c r="AT12" s="54" t="s">
        <v>673</v>
      </c>
      <c r="AU12" s="11" t="s">
        <v>52</v>
      </c>
      <c r="AV12" s="588" t="s">
        <v>674</v>
      </c>
      <c r="AW12" s="54">
        <v>236</v>
      </c>
      <c r="AX12" s="54" t="s">
        <v>675</v>
      </c>
      <c r="AY12" s="54" t="s">
        <v>676</v>
      </c>
      <c r="AZ12" s="54" t="s">
        <v>677</v>
      </c>
      <c r="BA12" s="54" t="s">
        <v>52</v>
      </c>
      <c r="BB12" s="54" t="s">
        <v>52</v>
      </c>
      <c r="BC12" s="54" t="s">
        <v>52</v>
      </c>
      <c r="BD12" s="54" t="s">
        <v>678</v>
      </c>
      <c r="BE12" s="54" t="s">
        <v>52</v>
      </c>
      <c r="BF12" s="54" t="s">
        <v>52</v>
      </c>
      <c r="BG12" s="54" t="s">
        <v>679</v>
      </c>
      <c r="BH12" s="54" t="s">
        <v>52</v>
      </c>
      <c r="BI12" s="54" t="s">
        <v>52</v>
      </c>
      <c r="BJ12" s="54" t="s">
        <v>52</v>
      </c>
      <c r="BK12" s="54" t="s">
        <v>52</v>
      </c>
      <c r="BL12" s="54" t="s">
        <v>52</v>
      </c>
      <c r="BM12" s="54" t="s">
        <v>52</v>
      </c>
      <c r="BN12" s="54" t="s">
        <v>680</v>
      </c>
      <c r="BO12" s="54" t="s">
        <v>681</v>
      </c>
      <c r="BP12" s="605" t="s">
        <v>682</v>
      </c>
      <c r="BQ12" s="605" t="s">
        <v>683</v>
      </c>
      <c r="BR12" s="605" t="s">
        <v>610</v>
      </c>
      <c r="BS12" s="621" t="s">
        <v>684</v>
      </c>
      <c r="BT12" s="53"/>
    </row>
    <row r="13" spans="1:72" s="8" customFormat="1" ht="15" customHeight="1">
      <c r="A13" s="638"/>
      <c r="B13" s="588"/>
      <c r="C13" s="635"/>
      <c r="D13" s="588"/>
      <c r="E13" s="588"/>
      <c r="F13" s="54" t="s">
        <v>492</v>
      </c>
      <c r="G13" s="605"/>
      <c r="H13" s="605"/>
      <c r="I13" s="685"/>
      <c r="J13" s="235">
        <v>158</v>
      </c>
      <c r="K13" s="590"/>
      <c r="L13" s="235">
        <v>75</v>
      </c>
      <c r="M13" s="588"/>
      <c r="N13" s="74">
        <v>94</v>
      </c>
      <c r="O13" s="618"/>
      <c r="P13" s="246">
        <v>94</v>
      </c>
      <c r="Q13" s="59" t="s">
        <v>685</v>
      </c>
      <c r="R13" s="11" t="s">
        <v>622</v>
      </c>
      <c r="S13" s="11" t="s">
        <v>686</v>
      </c>
      <c r="T13" s="11" t="s">
        <v>687</v>
      </c>
      <c r="U13" s="11" t="s">
        <v>688</v>
      </c>
      <c r="V13" s="11" t="s">
        <v>689</v>
      </c>
      <c r="W13" s="235">
        <v>123</v>
      </c>
      <c r="X13" s="618"/>
      <c r="Y13" s="235"/>
      <c r="Z13" s="11" t="s">
        <v>690</v>
      </c>
      <c r="AA13" s="11" t="s">
        <v>691</v>
      </c>
      <c r="AB13" s="54">
        <v>112</v>
      </c>
      <c r="AC13" s="16">
        <v>158</v>
      </c>
      <c r="AD13" s="16">
        <v>6.4</v>
      </c>
      <c r="AE13" s="16" t="s">
        <v>692</v>
      </c>
      <c r="AF13" s="19" t="s">
        <v>52</v>
      </c>
      <c r="AG13" s="19" t="s">
        <v>52</v>
      </c>
      <c r="AH13" s="19" t="s">
        <v>52</v>
      </c>
      <c r="AI13" s="594"/>
      <c r="AJ13" s="16">
        <v>158</v>
      </c>
      <c r="AK13" s="16" t="s">
        <v>693</v>
      </c>
      <c r="AL13" s="16" t="s">
        <v>52</v>
      </c>
      <c r="AM13" s="239"/>
      <c r="AN13" s="593"/>
      <c r="AO13" s="11" t="s">
        <v>52</v>
      </c>
      <c r="AP13" s="11" t="s">
        <v>52</v>
      </c>
      <c r="AQ13" s="11" t="s">
        <v>52</v>
      </c>
      <c r="AR13" s="11" t="s">
        <v>52</v>
      </c>
      <c r="AS13" s="661"/>
      <c r="AT13" s="54" t="s">
        <v>52</v>
      </c>
      <c r="AU13" s="11" t="s">
        <v>52</v>
      </c>
      <c r="AV13" s="588"/>
      <c r="AW13" s="54">
        <v>153</v>
      </c>
      <c r="AX13" s="54" t="s">
        <v>694</v>
      </c>
      <c r="AY13" s="54" t="s">
        <v>695</v>
      </c>
      <c r="AZ13" s="54" t="s">
        <v>696</v>
      </c>
      <c r="BA13" s="54" t="s">
        <v>52</v>
      </c>
      <c r="BB13" s="54" t="s">
        <v>52</v>
      </c>
      <c r="BC13" s="54" t="s">
        <v>52</v>
      </c>
      <c r="BD13" s="54" t="s">
        <v>697</v>
      </c>
      <c r="BE13" s="54" t="s">
        <v>52</v>
      </c>
      <c r="BF13" s="54" t="s">
        <v>698</v>
      </c>
      <c r="BG13" s="54" t="s">
        <v>699</v>
      </c>
      <c r="BH13" s="54" t="s">
        <v>52</v>
      </c>
      <c r="BI13" s="54" t="s">
        <v>52</v>
      </c>
      <c r="BJ13" s="54" t="s">
        <v>52</v>
      </c>
      <c r="BK13" s="54" t="s">
        <v>52</v>
      </c>
      <c r="BL13" s="54" t="s">
        <v>52</v>
      </c>
      <c r="BM13" s="54" t="s">
        <v>700</v>
      </c>
      <c r="BN13" s="54" t="s">
        <v>701</v>
      </c>
      <c r="BO13" s="54" t="s">
        <v>702</v>
      </c>
      <c r="BP13" s="605"/>
      <c r="BQ13" s="605"/>
      <c r="BR13" s="605"/>
      <c r="BS13" s="622"/>
      <c r="BT13" s="53"/>
    </row>
    <row r="14" spans="1:72" s="8" customFormat="1" ht="15" customHeight="1">
      <c r="A14" s="637" t="s">
        <v>1883</v>
      </c>
      <c r="B14" s="588" t="s">
        <v>493</v>
      </c>
      <c r="C14" s="635" t="s">
        <v>703</v>
      </c>
      <c r="D14" s="588" t="s">
        <v>705</v>
      </c>
      <c r="E14" s="588" t="s">
        <v>656</v>
      </c>
      <c r="F14" s="11" t="s">
        <v>482</v>
      </c>
      <c r="G14" s="569" t="s">
        <v>657</v>
      </c>
      <c r="H14" s="588" t="s">
        <v>706</v>
      </c>
      <c r="I14" s="612" t="s">
        <v>707</v>
      </c>
      <c r="J14" s="235">
        <v>45</v>
      </c>
      <c r="K14" s="569">
        <v>316</v>
      </c>
      <c r="L14" s="235">
        <v>69</v>
      </c>
      <c r="M14" s="588">
        <v>69</v>
      </c>
      <c r="N14" s="74">
        <v>39</v>
      </c>
      <c r="O14" s="617">
        <v>74</v>
      </c>
      <c r="P14" s="246">
        <v>39</v>
      </c>
      <c r="Q14" s="55" t="s">
        <v>708</v>
      </c>
      <c r="R14" s="11" t="s">
        <v>709</v>
      </c>
      <c r="S14" s="11" t="s">
        <v>52</v>
      </c>
      <c r="T14" s="11" t="s">
        <v>52</v>
      </c>
      <c r="U14" s="11" t="s">
        <v>710</v>
      </c>
      <c r="V14" s="11" t="s">
        <v>711</v>
      </c>
      <c r="W14" s="235">
        <v>42</v>
      </c>
      <c r="X14" s="617">
        <f>W14+W15</f>
        <v>88</v>
      </c>
      <c r="Y14" s="235"/>
      <c r="Z14" s="11" t="s">
        <v>712</v>
      </c>
      <c r="AA14" s="11" t="s">
        <v>713</v>
      </c>
      <c r="AB14" s="11">
        <v>252</v>
      </c>
      <c r="AC14" s="16" t="s">
        <v>52</v>
      </c>
      <c r="AD14" s="16" t="s">
        <v>52</v>
      </c>
      <c r="AE14" s="16" t="s">
        <v>52</v>
      </c>
      <c r="AF14" s="16" t="s">
        <v>52</v>
      </c>
      <c r="AG14" s="16" t="s">
        <v>52</v>
      </c>
      <c r="AH14" s="16" t="s">
        <v>52</v>
      </c>
      <c r="AI14" s="594" t="s">
        <v>52</v>
      </c>
      <c r="AJ14" s="16" t="s">
        <v>52</v>
      </c>
      <c r="AK14" s="16" t="s">
        <v>52</v>
      </c>
      <c r="AL14" s="16" t="s">
        <v>52</v>
      </c>
      <c r="AM14" s="239"/>
      <c r="AN14" s="593" t="s">
        <v>52</v>
      </c>
      <c r="AO14" s="11" t="s">
        <v>52</v>
      </c>
      <c r="AP14" s="11" t="s">
        <v>52</v>
      </c>
      <c r="AQ14" s="11">
        <v>97.28</v>
      </c>
      <c r="AR14" s="11" t="s">
        <v>52</v>
      </c>
      <c r="AS14" s="614" t="s">
        <v>714</v>
      </c>
      <c r="AT14" s="11" t="s">
        <v>715</v>
      </c>
      <c r="AU14" s="11" t="s">
        <v>52</v>
      </c>
      <c r="AV14" s="588" t="s">
        <v>716</v>
      </c>
      <c r="AW14" s="11">
        <v>45</v>
      </c>
      <c r="AX14" s="11" t="s">
        <v>717</v>
      </c>
      <c r="AY14" s="11" t="s">
        <v>52</v>
      </c>
      <c r="AZ14" s="11" t="s">
        <v>718</v>
      </c>
      <c r="BA14" s="11" t="s">
        <v>52</v>
      </c>
      <c r="BB14" s="11" t="s">
        <v>52</v>
      </c>
      <c r="BC14" s="11" t="s">
        <v>52</v>
      </c>
      <c r="BD14" s="11" t="s">
        <v>719</v>
      </c>
      <c r="BE14" s="11" t="s">
        <v>52</v>
      </c>
      <c r="BF14" s="11" t="s">
        <v>720</v>
      </c>
      <c r="BG14" s="11" t="s">
        <v>721</v>
      </c>
      <c r="BH14" s="11" t="s">
        <v>52</v>
      </c>
      <c r="BI14" s="11" t="s">
        <v>52</v>
      </c>
      <c r="BJ14" s="11" t="s">
        <v>52</v>
      </c>
      <c r="BK14" s="11" t="s">
        <v>52</v>
      </c>
      <c r="BL14" s="11" t="s">
        <v>52</v>
      </c>
      <c r="BM14" s="11" t="s">
        <v>52</v>
      </c>
      <c r="BN14" s="11" t="s">
        <v>52</v>
      </c>
      <c r="BO14" s="11" t="s">
        <v>52</v>
      </c>
      <c r="BP14" s="588" t="s">
        <v>52</v>
      </c>
      <c r="BQ14" s="588" t="s">
        <v>52</v>
      </c>
      <c r="BR14" s="605" t="s">
        <v>722</v>
      </c>
      <c r="BS14" s="605" t="s">
        <v>723</v>
      </c>
      <c r="BT14" s="53"/>
    </row>
    <row r="15" spans="1:72" s="8" customFormat="1" ht="15" customHeight="1">
      <c r="A15" s="638"/>
      <c r="B15" s="588"/>
      <c r="C15" s="635"/>
      <c r="D15" s="588"/>
      <c r="E15" s="588"/>
      <c r="F15" s="11" t="s">
        <v>494</v>
      </c>
      <c r="G15" s="570"/>
      <c r="H15" s="588"/>
      <c r="I15" s="612"/>
      <c r="J15" s="235">
        <v>49</v>
      </c>
      <c r="K15" s="570"/>
      <c r="L15" s="235">
        <v>71</v>
      </c>
      <c r="M15" s="588"/>
      <c r="N15" s="74">
        <v>35</v>
      </c>
      <c r="O15" s="618"/>
      <c r="P15" s="246">
        <v>35</v>
      </c>
      <c r="Q15" s="55" t="s">
        <v>724</v>
      </c>
      <c r="R15" s="11" t="s">
        <v>725</v>
      </c>
      <c r="S15" s="11" t="s">
        <v>52</v>
      </c>
      <c r="T15" s="11" t="s">
        <v>52</v>
      </c>
      <c r="U15" s="11" t="s">
        <v>726</v>
      </c>
      <c r="V15" s="11" t="s">
        <v>727</v>
      </c>
      <c r="W15" s="235">
        <v>46</v>
      </c>
      <c r="X15" s="618"/>
      <c r="Y15" s="235"/>
      <c r="Z15" s="11" t="s">
        <v>728</v>
      </c>
      <c r="AA15" s="11" t="s">
        <v>729</v>
      </c>
      <c r="AB15" s="11">
        <v>157.5</v>
      </c>
      <c r="AC15" s="16" t="s">
        <v>52</v>
      </c>
      <c r="AD15" s="16" t="s">
        <v>52</v>
      </c>
      <c r="AE15" s="16" t="s">
        <v>52</v>
      </c>
      <c r="AF15" s="16" t="s">
        <v>52</v>
      </c>
      <c r="AG15" s="16" t="s">
        <v>52</v>
      </c>
      <c r="AH15" s="16" t="s">
        <v>52</v>
      </c>
      <c r="AI15" s="594"/>
      <c r="AJ15" s="16" t="s">
        <v>52</v>
      </c>
      <c r="AK15" s="16" t="s">
        <v>52</v>
      </c>
      <c r="AL15" s="16" t="s">
        <v>52</v>
      </c>
      <c r="AM15" s="239"/>
      <c r="AN15" s="593"/>
      <c r="AO15" s="11" t="s">
        <v>52</v>
      </c>
      <c r="AP15" s="11" t="s">
        <v>52</v>
      </c>
      <c r="AQ15" s="21">
        <v>91.199999999999989</v>
      </c>
      <c r="AR15" s="11" t="s">
        <v>52</v>
      </c>
      <c r="AS15" s="614"/>
      <c r="AT15" s="11" t="s">
        <v>730</v>
      </c>
      <c r="AU15" s="11" t="s">
        <v>52</v>
      </c>
      <c r="AV15" s="588"/>
      <c r="AW15" s="11">
        <v>44</v>
      </c>
      <c r="AX15" s="11" t="s">
        <v>731</v>
      </c>
      <c r="AY15" s="11" t="s">
        <v>52</v>
      </c>
      <c r="AZ15" s="11" t="s">
        <v>732</v>
      </c>
      <c r="BA15" s="11" t="s">
        <v>52</v>
      </c>
      <c r="BB15" s="11" t="s">
        <v>52</v>
      </c>
      <c r="BC15" s="11" t="s">
        <v>52</v>
      </c>
      <c r="BD15" s="11" t="s">
        <v>733</v>
      </c>
      <c r="BE15" s="11" t="s">
        <v>52</v>
      </c>
      <c r="BF15" s="11" t="s">
        <v>734</v>
      </c>
      <c r="BG15" s="11" t="s">
        <v>734</v>
      </c>
      <c r="BH15" s="11" t="s">
        <v>52</v>
      </c>
      <c r="BI15" s="11" t="s">
        <v>52</v>
      </c>
      <c r="BJ15" s="11" t="s">
        <v>52</v>
      </c>
      <c r="BK15" s="11" t="s">
        <v>52</v>
      </c>
      <c r="BL15" s="11" t="s">
        <v>52</v>
      </c>
      <c r="BM15" s="11" t="s">
        <v>52</v>
      </c>
      <c r="BN15" s="11" t="s">
        <v>52</v>
      </c>
      <c r="BO15" s="11" t="s">
        <v>52</v>
      </c>
      <c r="BP15" s="588"/>
      <c r="BQ15" s="588"/>
      <c r="BR15" s="605"/>
      <c r="BS15" s="605"/>
      <c r="BT15" s="53"/>
    </row>
    <row r="16" spans="1:72" s="8" customFormat="1" ht="15" customHeight="1">
      <c r="A16" s="637" t="s">
        <v>1883</v>
      </c>
      <c r="B16" s="588" t="s">
        <v>493</v>
      </c>
      <c r="C16" s="635" t="s">
        <v>703</v>
      </c>
      <c r="D16" s="588" t="s">
        <v>705</v>
      </c>
      <c r="E16" s="588" t="s">
        <v>656</v>
      </c>
      <c r="F16" s="11" t="s">
        <v>482</v>
      </c>
      <c r="G16" s="569" t="s">
        <v>735</v>
      </c>
      <c r="H16" s="588" t="s">
        <v>706</v>
      </c>
      <c r="I16" s="612" t="s">
        <v>707</v>
      </c>
      <c r="J16" s="235">
        <v>117</v>
      </c>
      <c r="K16" s="569">
        <v>316</v>
      </c>
      <c r="L16" s="235">
        <v>69</v>
      </c>
      <c r="M16" s="588">
        <v>69</v>
      </c>
      <c r="N16" s="74">
        <v>81</v>
      </c>
      <c r="O16" s="617">
        <v>148</v>
      </c>
      <c r="P16" s="246">
        <v>81</v>
      </c>
      <c r="Q16" s="55" t="s">
        <v>736</v>
      </c>
      <c r="R16" s="11" t="s">
        <v>737</v>
      </c>
      <c r="S16" s="11" t="s">
        <v>52</v>
      </c>
      <c r="T16" s="11" t="s">
        <v>52</v>
      </c>
      <c r="U16" s="11" t="s">
        <v>52</v>
      </c>
      <c r="V16" s="11" t="s">
        <v>738</v>
      </c>
      <c r="W16" s="235">
        <v>106</v>
      </c>
      <c r="X16" s="617">
        <f>W16+W17</f>
        <v>201</v>
      </c>
      <c r="Y16" s="235"/>
      <c r="Z16" s="11" t="s">
        <v>739</v>
      </c>
      <c r="AA16" s="11" t="s">
        <v>740</v>
      </c>
      <c r="AB16" s="11">
        <v>252</v>
      </c>
      <c r="AC16" s="16" t="s">
        <v>52</v>
      </c>
      <c r="AD16" s="16" t="s">
        <v>52</v>
      </c>
      <c r="AE16" s="16" t="s">
        <v>52</v>
      </c>
      <c r="AF16" s="16" t="s">
        <v>52</v>
      </c>
      <c r="AG16" s="16" t="s">
        <v>52</v>
      </c>
      <c r="AH16" s="16" t="s">
        <v>52</v>
      </c>
      <c r="AI16" s="594" t="s">
        <v>52</v>
      </c>
      <c r="AJ16" s="16" t="s">
        <v>52</v>
      </c>
      <c r="AK16" s="16" t="s">
        <v>52</v>
      </c>
      <c r="AL16" s="16" t="s">
        <v>52</v>
      </c>
      <c r="AM16" s="239"/>
      <c r="AN16" s="593" t="s">
        <v>52</v>
      </c>
      <c r="AO16" s="11" t="s">
        <v>52</v>
      </c>
      <c r="AP16" s="11" t="s">
        <v>52</v>
      </c>
      <c r="AQ16" s="11">
        <v>97.28</v>
      </c>
      <c r="AR16" s="11" t="s">
        <v>52</v>
      </c>
      <c r="AS16" s="614" t="s">
        <v>714</v>
      </c>
      <c r="AT16" s="11" t="s">
        <v>715</v>
      </c>
      <c r="AU16" s="11" t="s">
        <v>52</v>
      </c>
      <c r="AV16" s="588" t="s">
        <v>716</v>
      </c>
      <c r="AW16" s="11">
        <v>114</v>
      </c>
      <c r="AX16" s="11" t="s">
        <v>741</v>
      </c>
      <c r="AY16" s="11" t="s">
        <v>52</v>
      </c>
      <c r="AZ16" s="11" t="s">
        <v>742</v>
      </c>
      <c r="BA16" s="11" t="s">
        <v>52</v>
      </c>
      <c r="BB16" s="11" t="s">
        <v>52</v>
      </c>
      <c r="BC16" s="11" t="s">
        <v>52</v>
      </c>
      <c r="BD16" s="11" t="s">
        <v>743</v>
      </c>
      <c r="BE16" s="11" t="s">
        <v>52</v>
      </c>
      <c r="BF16" s="11" t="s">
        <v>52</v>
      </c>
      <c r="BG16" s="11" t="s">
        <v>52</v>
      </c>
      <c r="BH16" s="11" t="s">
        <v>52</v>
      </c>
      <c r="BI16" s="11" t="s">
        <v>52</v>
      </c>
      <c r="BJ16" s="11" t="s">
        <v>52</v>
      </c>
      <c r="BK16" s="11" t="s">
        <v>52</v>
      </c>
      <c r="BL16" s="11" t="s">
        <v>52</v>
      </c>
      <c r="BM16" s="11" t="s">
        <v>52</v>
      </c>
      <c r="BN16" s="11" t="s">
        <v>52</v>
      </c>
      <c r="BO16" s="11" t="s">
        <v>52</v>
      </c>
      <c r="BP16" s="588" t="s">
        <v>52</v>
      </c>
      <c r="BQ16" s="588" t="s">
        <v>52</v>
      </c>
      <c r="BR16" s="689"/>
      <c r="BS16" s="689"/>
      <c r="BT16" s="53"/>
    </row>
    <row r="17" spans="1:72" s="8" customFormat="1" ht="15" customHeight="1">
      <c r="A17" s="638"/>
      <c r="B17" s="588"/>
      <c r="C17" s="635"/>
      <c r="D17" s="588"/>
      <c r="E17" s="588"/>
      <c r="F17" s="11" t="s">
        <v>495</v>
      </c>
      <c r="G17" s="570"/>
      <c r="H17" s="588"/>
      <c r="I17" s="612"/>
      <c r="J17" s="235">
        <v>105</v>
      </c>
      <c r="K17" s="570"/>
      <c r="L17" s="235">
        <v>70</v>
      </c>
      <c r="M17" s="588"/>
      <c r="N17" s="74">
        <v>67</v>
      </c>
      <c r="O17" s="618"/>
      <c r="P17" s="246">
        <v>67</v>
      </c>
      <c r="Q17" s="55" t="s">
        <v>744</v>
      </c>
      <c r="R17" s="11" t="s">
        <v>745</v>
      </c>
      <c r="S17" s="11" t="s">
        <v>52</v>
      </c>
      <c r="T17" s="11" t="s">
        <v>52</v>
      </c>
      <c r="U17" s="11" t="s">
        <v>52</v>
      </c>
      <c r="V17" s="11" t="s">
        <v>746</v>
      </c>
      <c r="W17" s="235">
        <v>95</v>
      </c>
      <c r="X17" s="618"/>
      <c r="Y17" s="235"/>
      <c r="Z17" s="11" t="s">
        <v>747</v>
      </c>
      <c r="AA17" s="11" t="s">
        <v>748</v>
      </c>
      <c r="AB17" s="11">
        <v>188.6</v>
      </c>
      <c r="AC17" s="16" t="s">
        <v>52</v>
      </c>
      <c r="AD17" s="16" t="s">
        <v>52</v>
      </c>
      <c r="AE17" s="16" t="s">
        <v>52</v>
      </c>
      <c r="AF17" s="16" t="s">
        <v>52</v>
      </c>
      <c r="AG17" s="16" t="s">
        <v>52</v>
      </c>
      <c r="AH17" s="16" t="s">
        <v>52</v>
      </c>
      <c r="AI17" s="594"/>
      <c r="AJ17" s="16" t="s">
        <v>52</v>
      </c>
      <c r="AK17" s="16" t="s">
        <v>52</v>
      </c>
      <c r="AL17" s="16" t="s">
        <v>52</v>
      </c>
      <c r="AM17" s="239"/>
      <c r="AN17" s="593"/>
      <c r="AO17" s="11" t="s">
        <v>52</v>
      </c>
      <c r="AP17" s="11" t="s">
        <v>52</v>
      </c>
      <c r="AQ17" s="21">
        <v>91.199999999999989</v>
      </c>
      <c r="AR17" s="11" t="s">
        <v>52</v>
      </c>
      <c r="AS17" s="614"/>
      <c r="AT17" s="11" t="s">
        <v>730</v>
      </c>
      <c r="AU17" s="11" t="s">
        <v>52</v>
      </c>
      <c r="AV17" s="588"/>
      <c r="AW17" s="11">
        <v>102</v>
      </c>
      <c r="AX17" s="11" t="s">
        <v>749</v>
      </c>
      <c r="AY17" s="11" t="s">
        <v>52</v>
      </c>
      <c r="AZ17" s="11" t="s">
        <v>750</v>
      </c>
      <c r="BA17" s="11" t="s">
        <v>52</v>
      </c>
      <c r="BB17" s="11" t="s">
        <v>52</v>
      </c>
      <c r="BC17" s="11" t="s">
        <v>52</v>
      </c>
      <c r="BD17" s="11" t="s">
        <v>751</v>
      </c>
      <c r="BE17" s="11" t="s">
        <v>52</v>
      </c>
      <c r="BF17" s="11" t="s">
        <v>52</v>
      </c>
      <c r="BG17" s="11" t="s">
        <v>52</v>
      </c>
      <c r="BH17" s="11" t="s">
        <v>52</v>
      </c>
      <c r="BI17" s="11" t="s">
        <v>52</v>
      </c>
      <c r="BJ17" s="11" t="s">
        <v>52</v>
      </c>
      <c r="BK17" s="11" t="s">
        <v>52</v>
      </c>
      <c r="BL17" s="11" t="s">
        <v>52</v>
      </c>
      <c r="BM17" s="11" t="s">
        <v>52</v>
      </c>
      <c r="BN17" s="11" t="s">
        <v>52</v>
      </c>
      <c r="BO17" s="11" t="s">
        <v>52</v>
      </c>
      <c r="BP17" s="588"/>
      <c r="BQ17" s="588"/>
      <c r="BR17" s="689"/>
      <c r="BS17" s="689"/>
      <c r="BT17" s="53"/>
    </row>
    <row r="18" spans="1:72" s="8" customFormat="1" ht="15" customHeight="1">
      <c r="A18" s="637" t="s">
        <v>1883</v>
      </c>
      <c r="B18" s="588" t="s">
        <v>496</v>
      </c>
      <c r="C18" s="635" t="s">
        <v>752</v>
      </c>
      <c r="D18" s="588" t="s">
        <v>497</v>
      </c>
      <c r="E18" s="588" t="s">
        <v>753</v>
      </c>
      <c r="F18" s="54" t="s">
        <v>482</v>
      </c>
      <c r="G18" s="605" t="s">
        <v>657</v>
      </c>
      <c r="H18" s="605" t="s">
        <v>754</v>
      </c>
      <c r="I18" s="685" t="s">
        <v>755</v>
      </c>
      <c r="J18" s="235">
        <v>14</v>
      </c>
      <c r="K18" s="589">
        <v>34</v>
      </c>
      <c r="L18" s="235">
        <v>69</v>
      </c>
      <c r="M18" s="588">
        <v>70</v>
      </c>
      <c r="N18" s="267">
        <v>13</v>
      </c>
      <c r="O18" s="617">
        <v>28</v>
      </c>
      <c r="P18" s="276">
        <v>13</v>
      </c>
      <c r="Q18" s="59" t="s">
        <v>757</v>
      </c>
      <c r="R18" s="11" t="s">
        <v>622</v>
      </c>
      <c r="S18" s="54" t="s">
        <v>52</v>
      </c>
      <c r="T18" s="54" t="s">
        <v>758</v>
      </c>
      <c r="U18" s="11" t="s">
        <v>52</v>
      </c>
      <c r="V18" s="54" t="s">
        <v>759</v>
      </c>
      <c r="W18" s="238">
        <v>14</v>
      </c>
      <c r="X18" s="617">
        <f>W18+W19</f>
        <v>33</v>
      </c>
      <c r="Y18" s="238"/>
      <c r="Z18" s="54" t="s">
        <v>760</v>
      </c>
      <c r="AA18" s="54" t="s">
        <v>761</v>
      </c>
      <c r="AB18" s="11">
        <v>224</v>
      </c>
      <c r="AC18" s="16">
        <v>14</v>
      </c>
      <c r="AD18" s="16">
        <v>24.5</v>
      </c>
      <c r="AE18" s="16" t="s">
        <v>762</v>
      </c>
      <c r="AF18" s="16">
        <v>0.37</v>
      </c>
      <c r="AG18" s="16" t="s">
        <v>763</v>
      </c>
      <c r="AH18" s="16">
        <v>0.08</v>
      </c>
      <c r="AI18" s="594" t="s">
        <v>764</v>
      </c>
      <c r="AJ18" s="43">
        <v>55</v>
      </c>
      <c r="AK18" s="43" t="s">
        <v>765</v>
      </c>
      <c r="AL18" s="43" t="s">
        <v>766</v>
      </c>
      <c r="AM18" s="240"/>
      <c r="AN18" s="593" t="s">
        <v>767</v>
      </c>
      <c r="AO18" s="54" t="s">
        <v>52</v>
      </c>
      <c r="AP18" s="54" t="s">
        <v>52</v>
      </c>
      <c r="AQ18" s="54" t="s">
        <v>52</v>
      </c>
      <c r="AR18" s="54" t="s">
        <v>52</v>
      </c>
      <c r="AS18" s="661" t="s">
        <v>52</v>
      </c>
      <c r="AT18" s="75" t="s">
        <v>768</v>
      </c>
      <c r="AU18" s="54" t="s">
        <v>52</v>
      </c>
      <c r="AV18" s="588" t="s">
        <v>769</v>
      </c>
      <c r="AW18" s="11">
        <v>14</v>
      </c>
      <c r="AX18" s="11" t="s">
        <v>770</v>
      </c>
      <c r="AY18" s="11" t="s">
        <v>52</v>
      </c>
      <c r="AZ18" s="11" t="s">
        <v>771</v>
      </c>
      <c r="BA18" s="11" t="s">
        <v>52</v>
      </c>
      <c r="BB18" s="11" t="s">
        <v>52</v>
      </c>
      <c r="BC18" s="11" t="s">
        <v>52</v>
      </c>
      <c r="BD18" s="11" t="s">
        <v>756</v>
      </c>
      <c r="BE18" s="11" t="s">
        <v>52</v>
      </c>
      <c r="BF18" s="54" t="s">
        <v>52</v>
      </c>
      <c r="BG18" s="54" t="s">
        <v>52</v>
      </c>
      <c r="BH18" s="54" t="s">
        <v>52</v>
      </c>
      <c r="BI18" s="54" t="s">
        <v>52</v>
      </c>
      <c r="BJ18" s="54" t="s">
        <v>52</v>
      </c>
      <c r="BK18" s="54" t="s">
        <v>52</v>
      </c>
      <c r="BL18" s="54" t="s">
        <v>52</v>
      </c>
      <c r="BM18" s="54" t="s">
        <v>52</v>
      </c>
      <c r="BN18" s="54" t="s">
        <v>52</v>
      </c>
      <c r="BO18" s="54" t="s">
        <v>52</v>
      </c>
      <c r="BP18" s="605" t="s">
        <v>52</v>
      </c>
      <c r="BQ18" s="605" t="s">
        <v>52</v>
      </c>
      <c r="BR18" s="689"/>
      <c r="BS18" s="689"/>
      <c r="BT18" s="53"/>
    </row>
    <row r="19" spans="1:72" s="8" customFormat="1" ht="15" customHeight="1">
      <c r="A19" s="638"/>
      <c r="B19" s="588"/>
      <c r="C19" s="635"/>
      <c r="D19" s="588"/>
      <c r="E19" s="588"/>
      <c r="F19" s="54" t="s">
        <v>492</v>
      </c>
      <c r="G19" s="605"/>
      <c r="H19" s="605"/>
      <c r="I19" s="685"/>
      <c r="J19" s="235">
        <v>20</v>
      </c>
      <c r="K19" s="590"/>
      <c r="L19" s="235">
        <v>71</v>
      </c>
      <c r="M19" s="588"/>
      <c r="N19" s="267">
        <v>15</v>
      </c>
      <c r="O19" s="618"/>
      <c r="P19" s="276">
        <v>15</v>
      </c>
      <c r="Q19" s="59" t="s">
        <v>772</v>
      </c>
      <c r="R19" s="11" t="s">
        <v>622</v>
      </c>
      <c r="S19" s="54" t="s">
        <v>52</v>
      </c>
      <c r="T19" s="54" t="s">
        <v>773</v>
      </c>
      <c r="U19" s="11" t="s">
        <v>52</v>
      </c>
      <c r="V19" s="54" t="s">
        <v>774</v>
      </c>
      <c r="W19" s="238">
        <v>19</v>
      </c>
      <c r="X19" s="618"/>
      <c r="Y19" s="238"/>
      <c r="Z19" s="54" t="s">
        <v>775</v>
      </c>
      <c r="AA19" s="54" t="s">
        <v>776</v>
      </c>
      <c r="AB19" s="11">
        <v>154</v>
      </c>
      <c r="AC19" s="16">
        <v>20</v>
      </c>
      <c r="AD19" s="76">
        <v>17</v>
      </c>
      <c r="AE19" s="16" t="s">
        <v>777</v>
      </c>
      <c r="AF19" s="19" t="s">
        <v>52</v>
      </c>
      <c r="AG19" s="19" t="s">
        <v>52</v>
      </c>
      <c r="AH19" s="19" t="s">
        <v>52</v>
      </c>
      <c r="AI19" s="594"/>
      <c r="AJ19" s="43">
        <v>20</v>
      </c>
      <c r="AK19" s="43" t="s">
        <v>778</v>
      </c>
      <c r="AL19" s="43" t="s">
        <v>779</v>
      </c>
      <c r="AM19" s="240"/>
      <c r="AN19" s="593"/>
      <c r="AO19" s="54" t="s">
        <v>52</v>
      </c>
      <c r="AP19" s="54" t="s">
        <v>52</v>
      </c>
      <c r="AQ19" s="54" t="s">
        <v>52</v>
      </c>
      <c r="AR19" s="54" t="s">
        <v>52</v>
      </c>
      <c r="AS19" s="661"/>
      <c r="AT19" s="75" t="s">
        <v>780</v>
      </c>
      <c r="AU19" s="54" t="s">
        <v>52</v>
      </c>
      <c r="AV19" s="588"/>
      <c r="AW19" s="11">
        <v>18</v>
      </c>
      <c r="AX19" s="11" t="s">
        <v>781</v>
      </c>
      <c r="AY19" s="11" t="s">
        <v>52</v>
      </c>
      <c r="AZ19" s="11" t="s">
        <v>782</v>
      </c>
      <c r="BA19" s="11" t="s">
        <v>52</v>
      </c>
      <c r="BB19" s="11" t="s">
        <v>52</v>
      </c>
      <c r="BC19" s="11" t="s">
        <v>52</v>
      </c>
      <c r="BD19" s="11" t="s">
        <v>783</v>
      </c>
      <c r="BE19" s="11" t="s">
        <v>52</v>
      </c>
      <c r="BF19" s="54" t="s">
        <v>52</v>
      </c>
      <c r="BG19" s="54" t="s">
        <v>52</v>
      </c>
      <c r="BH19" s="54" t="s">
        <v>52</v>
      </c>
      <c r="BI19" s="54" t="s">
        <v>52</v>
      </c>
      <c r="BJ19" s="54" t="s">
        <v>52</v>
      </c>
      <c r="BK19" s="54" t="s">
        <v>52</v>
      </c>
      <c r="BL19" s="54" t="s">
        <v>52</v>
      </c>
      <c r="BM19" s="54" t="s">
        <v>52</v>
      </c>
      <c r="BN19" s="54" t="s">
        <v>52</v>
      </c>
      <c r="BO19" s="54" t="s">
        <v>52</v>
      </c>
      <c r="BP19" s="605"/>
      <c r="BQ19" s="605"/>
      <c r="BR19" s="689"/>
      <c r="BS19" s="689"/>
      <c r="BT19" s="53"/>
    </row>
    <row r="20" spans="1:72" ht="15" customHeight="1">
      <c r="A20" s="637" t="s">
        <v>1883</v>
      </c>
      <c r="B20" s="588" t="s">
        <v>498</v>
      </c>
      <c r="C20" s="635" t="s">
        <v>784</v>
      </c>
      <c r="D20" s="588" t="s">
        <v>499</v>
      </c>
      <c r="E20" s="588" t="s">
        <v>785</v>
      </c>
      <c r="F20" s="11" t="s">
        <v>482</v>
      </c>
      <c r="G20" s="588" t="s">
        <v>735</v>
      </c>
      <c r="H20" s="588" t="s">
        <v>786</v>
      </c>
      <c r="I20" s="612" t="s">
        <v>787</v>
      </c>
      <c r="J20" s="235">
        <v>99</v>
      </c>
      <c r="K20" s="589">
        <v>191</v>
      </c>
      <c r="L20" s="235">
        <v>69</v>
      </c>
      <c r="M20" s="588">
        <v>68</v>
      </c>
      <c r="N20" s="74">
        <v>72</v>
      </c>
      <c r="O20" s="617">
        <v>132</v>
      </c>
      <c r="P20" s="246">
        <v>72</v>
      </c>
      <c r="Q20" s="55" t="s">
        <v>788</v>
      </c>
      <c r="R20" s="11" t="s">
        <v>789</v>
      </c>
      <c r="S20" s="11" t="s">
        <v>52</v>
      </c>
      <c r="T20" s="11" t="s">
        <v>52</v>
      </c>
      <c r="U20" s="11" t="s">
        <v>790</v>
      </c>
      <c r="V20" s="11" t="s">
        <v>52</v>
      </c>
      <c r="W20" s="235" t="s">
        <v>52</v>
      </c>
      <c r="X20" s="617" t="s">
        <v>52</v>
      </c>
      <c r="Y20" s="235"/>
      <c r="Z20" s="11" t="s">
        <v>52</v>
      </c>
      <c r="AA20" s="11" t="s">
        <v>52</v>
      </c>
      <c r="AB20" s="11">
        <v>112</v>
      </c>
      <c r="AC20" s="16" t="s">
        <v>52</v>
      </c>
      <c r="AD20" s="16" t="s">
        <v>52</v>
      </c>
      <c r="AE20" s="16" t="s">
        <v>52</v>
      </c>
      <c r="AF20" s="16" t="s">
        <v>52</v>
      </c>
      <c r="AG20" s="16" t="s">
        <v>52</v>
      </c>
      <c r="AH20" s="16" t="s">
        <v>52</v>
      </c>
      <c r="AI20" s="594" t="s">
        <v>52</v>
      </c>
      <c r="AJ20" s="16" t="s">
        <v>52</v>
      </c>
      <c r="AK20" s="16" t="s">
        <v>52</v>
      </c>
      <c r="AL20" s="16" t="s">
        <v>52</v>
      </c>
      <c r="AM20" s="239"/>
      <c r="AN20" s="593" t="s">
        <v>52</v>
      </c>
      <c r="AO20" s="11" t="s">
        <v>52</v>
      </c>
      <c r="AP20" s="11" t="s">
        <v>52</v>
      </c>
      <c r="AQ20" s="11" t="s">
        <v>52</v>
      </c>
      <c r="AR20" s="11" t="s">
        <v>52</v>
      </c>
      <c r="AS20" s="661" t="s">
        <v>52</v>
      </c>
      <c r="AT20" s="11" t="s">
        <v>791</v>
      </c>
      <c r="AU20" s="11" t="s">
        <v>52</v>
      </c>
      <c r="AV20" s="588" t="s">
        <v>792</v>
      </c>
      <c r="AW20" s="11" t="s">
        <v>52</v>
      </c>
      <c r="AX20" s="11" t="s">
        <v>52</v>
      </c>
      <c r="AY20" s="11" t="s">
        <v>52</v>
      </c>
      <c r="AZ20" s="11" t="s">
        <v>52</v>
      </c>
      <c r="BA20" s="11" t="s">
        <v>52</v>
      </c>
      <c r="BB20" s="11" t="s">
        <v>52</v>
      </c>
      <c r="BC20" s="11" t="s">
        <v>52</v>
      </c>
      <c r="BD20" s="55" t="s">
        <v>793</v>
      </c>
      <c r="BE20" s="11" t="s">
        <v>52</v>
      </c>
      <c r="BF20" s="11" t="s">
        <v>52</v>
      </c>
      <c r="BG20" s="11" t="s">
        <v>52</v>
      </c>
      <c r="BH20" s="11" t="s">
        <v>52</v>
      </c>
      <c r="BI20" s="11" t="s">
        <v>52</v>
      </c>
      <c r="BJ20" s="11" t="s">
        <v>52</v>
      </c>
      <c r="BK20" s="11" t="s">
        <v>52</v>
      </c>
      <c r="BL20" s="11" t="s">
        <v>52</v>
      </c>
      <c r="BM20" s="11" t="s">
        <v>52</v>
      </c>
      <c r="BN20" s="55" t="s">
        <v>794</v>
      </c>
      <c r="BO20" s="11" t="s">
        <v>52</v>
      </c>
      <c r="BP20" s="588" t="s">
        <v>795</v>
      </c>
      <c r="BQ20" s="612" t="s">
        <v>796</v>
      </c>
      <c r="BR20" s="605" t="s">
        <v>722</v>
      </c>
      <c r="BS20" s="621" t="s">
        <v>797</v>
      </c>
      <c r="BT20" s="56"/>
    </row>
    <row r="21" spans="1:72" ht="15" customHeight="1">
      <c r="A21" s="638"/>
      <c r="B21" s="588"/>
      <c r="C21" s="635"/>
      <c r="D21" s="588"/>
      <c r="E21" s="588"/>
      <c r="F21" s="11" t="s">
        <v>495</v>
      </c>
      <c r="G21" s="588"/>
      <c r="H21" s="605"/>
      <c r="I21" s="612"/>
      <c r="J21" s="235">
        <v>92</v>
      </c>
      <c r="K21" s="590"/>
      <c r="L21" s="235">
        <v>67</v>
      </c>
      <c r="M21" s="588"/>
      <c r="N21" s="74">
        <v>60</v>
      </c>
      <c r="O21" s="618"/>
      <c r="P21" s="246">
        <v>60</v>
      </c>
      <c r="Q21" s="11" t="s">
        <v>798</v>
      </c>
      <c r="R21" s="11" t="s">
        <v>799</v>
      </c>
      <c r="S21" s="11" t="s">
        <v>52</v>
      </c>
      <c r="T21" s="11" t="s">
        <v>52</v>
      </c>
      <c r="U21" s="11" t="s">
        <v>800</v>
      </c>
      <c r="V21" s="11" t="s">
        <v>52</v>
      </c>
      <c r="W21" s="235" t="s">
        <v>52</v>
      </c>
      <c r="X21" s="618"/>
      <c r="Y21" s="235"/>
      <c r="Z21" s="11" t="s">
        <v>52</v>
      </c>
      <c r="AA21" s="11" t="s">
        <v>52</v>
      </c>
      <c r="AB21" s="11" t="s">
        <v>52</v>
      </c>
      <c r="AC21" s="16" t="s">
        <v>52</v>
      </c>
      <c r="AD21" s="16" t="s">
        <v>52</v>
      </c>
      <c r="AE21" s="16" t="s">
        <v>52</v>
      </c>
      <c r="AF21" s="19" t="s">
        <v>52</v>
      </c>
      <c r="AG21" s="19" t="s">
        <v>52</v>
      </c>
      <c r="AH21" s="19" t="s">
        <v>52</v>
      </c>
      <c r="AI21" s="594"/>
      <c r="AJ21" s="16" t="s">
        <v>52</v>
      </c>
      <c r="AK21" s="16" t="s">
        <v>52</v>
      </c>
      <c r="AL21" s="16" t="s">
        <v>52</v>
      </c>
      <c r="AM21" s="239"/>
      <c r="AN21" s="593"/>
      <c r="AO21" s="11" t="s">
        <v>52</v>
      </c>
      <c r="AP21" s="11" t="s">
        <v>52</v>
      </c>
      <c r="AQ21" s="11" t="s">
        <v>52</v>
      </c>
      <c r="AR21" s="11" t="s">
        <v>52</v>
      </c>
      <c r="AS21" s="661"/>
      <c r="AT21" s="11" t="s">
        <v>52</v>
      </c>
      <c r="AU21" s="11" t="s">
        <v>52</v>
      </c>
      <c r="AV21" s="588"/>
      <c r="AW21" s="11" t="s">
        <v>52</v>
      </c>
      <c r="AX21" s="11" t="s">
        <v>52</v>
      </c>
      <c r="AY21" s="11" t="s">
        <v>52</v>
      </c>
      <c r="AZ21" s="11" t="s">
        <v>52</v>
      </c>
      <c r="BA21" s="11" t="s">
        <v>52</v>
      </c>
      <c r="BB21" s="11" t="s">
        <v>52</v>
      </c>
      <c r="BC21" s="11" t="s">
        <v>52</v>
      </c>
      <c r="BD21" s="11" t="s">
        <v>52</v>
      </c>
      <c r="BE21" s="11" t="s">
        <v>52</v>
      </c>
      <c r="BF21" s="11" t="s">
        <v>52</v>
      </c>
      <c r="BG21" s="11" t="s">
        <v>52</v>
      </c>
      <c r="BH21" s="11" t="s">
        <v>52</v>
      </c>
      <c r="BI21" s="11" t="s">
        <v>52</v>
      </c>
      <c r="BJ21" s="11" t="s">
        <v>52</v>
      </c>
      <c r="BK21" s="11" t="s">
        <v>52</v>
      </c>
      <c r="BL21" s="11" t="s">
        <v>52</v>
      </c>
      <c r="BM21" s="11" t="s">
        <v>52</v>
      </c>
      <c r="BN21" s="11" t="s">
        <v>52</v>
      </c>
      <c r="BO21" s="11" t="s">
        <v>52</v>
      </c>
      <c r="BP21" s="588"/>
      <c r="BQ21" s="612"/>
      <c r="BR21" s="605"/>
      <c r="BS21" s="622"/>
      <c r="BT21" s="56"/>
    </row>
    <row r="22" spans="1:72" s="8" customFormat="1" ht="15" customHeight="1">
      <c r="A22" s="637" t="s">
        <v>1883</v>
      </c>
      <c r="B22" s="588" t="s">
        <v>500</v>
      </c>
      <c r="C22" s="635" t="s">
        <v>501</v>
      </c>
      <c r="D22" s="588" t="s">
        <v>504</v>
      </c>
      <c r="E22" s="588" t="s">
        <v>580</v>
      </c>
      <c r="F22" s="11" t="s">
        <v>801</v>
      </c>
      <c r="G22" s="588" t="s">
        <v>802</v>
      </c>
      <c r="H22" s="588" t="s">
        <v>803</v>
      </c>
      <c r="I22" s="612" t="s">
        <v>804</v>
      </c>
      <c r="J22" s="235">
        <v>27</v>
      </c>
      <c r="K22" s="589">
        <v>79</v>
      </c>
      <c r="L22" s="235">
        <v>71</v>
      </c>
      <c r="M22" s="606">
        <v>71</v>
      </c>
      <c r="N22" s="74">
        <v>18</v>
      </c>
      <c r="O22" s="617">
        <v>55</v>
      </c>
      <c r="P22" s="246">
        <v>18</v>
      </c>
      <c r="Q22" s="679" t="s">
        <v>805</v>
      </c>
      <c r="R22" s="588" t="s">
        <v>806</v>
      </c>
      <c r="S22" s="22" t="s">
        <v>52</v>
      </c>
      <c r="T22" s="22" t="s">
        <v>52</v>
      </c>
      <c r="U22" s="22" t="s">
        <v>52</v>
      </c>
      <c r="V22" s="22" t="s">
        <v>52</v>
      </c>
      <c r="W22" s="234" t="s">
        <v>52</v>
      </c>
      <c r="X22" s="617" t="s">
        <v>52</v>
      </c>
      <c r="Y22" s="234"/>
      <c r="Z22" s="22" t="s">
        <v>52</v>
      </c>
      <c r="AA22" s="22" t="s">
        <v>52</v>
      </c>
      <c r="AB22" s="22" t="s">
        <v>52</v>
      </c>
      <c r="AC22" s="16" t="s">
        <v>52</v>
      </c>
      <c r="AD22" s="16" t="s">
        <v>52</v>
      </c>
      <c r="AE22" s="16" t="s">
        <v>52</v>
      </c>
      <c r="AF22" s="16" t="s">
        <v>52</v>
      </c>
      <c r="AG22" s="16" t="s">
        <v>52</v>
      </c>
      <c r="AH22" s="16" t="s">
        <v>52</v>
      </c>
      <c r="AI22" s="594" t="s">
        <v>52</v>
      </c>
      <c r="AJ22" s="16" t="s">
        <v>52</v>
      </c>
      <c r="AK22" s="16" t="s">
        <v>52</v>
      </c>
      <c r="AL22" s="57" t="s">
        <v>52</v>
      </c>
      <c r="AM22" s="248"/>
      <c r="AN22" s="686" t="s">
        <v>52</v>
      </c>
      <c r="AO22" s="22" t="s">
        <v>52</v>
      </c>
      <c r="AP22" s="22" t="s">
        <v>52</v>
      </c>
      <c r="AQ22" s="22" t="s">
        <v>52</v>
      </c>
      <c r="AR22" s="22" t="s">
        <v>52</v>
      </c>
      <c r="AS22" s="604" t="s">
        <v>52</v>
      </c>
      <c r="AT22" s="22" t="s">
        <v>52</v>
      </c>
      <c r="AU22" s="22" t="s">
        <v>52</v>
      </c>
      <c r="AV22" s="605" t="s">
        <v>52</v>
      </c>
      <c r="AW22" s="22" t="s">
        <v>52</v>
      </c>
      <c r="AX22" s="22" t="s">
        <v>52</v>
      </c>
      <c r="AY22" s="22" t="s">
        <v>52</v>
      </c>
      <c r="AZ22" s="22" t="s">
        <v>52</v>
      </c>
      <c r="BA22" s="22" t="s">
        <v>52</v>
      </c>
      <c r="BB22" s="22" t="s">
        <v>52</v>
      </c>
      <c r="BC22" s="22" t="s">
        <v>52</v>
      </c>
      <c r="BD22" s="22" t="s">
        <v>52</v>
      </c>
      <c r="BE22" s="22" t="s">
        <v>52</v>
      </c>
      <c r="BF22" s="22" t="s">
        <v>52</v>
      </c>
      <c r="BG22" s="22" t="s">
        <v>52</v>
      </c>
      <c r="BH22" s="22" t="s">
        <v>52</v>
      </c>
      <c r="BI22" s="22" t="s">
        <v>52</v>
      </c>
      <c r="BJ22" s="22" t="s">
        <v>52</v>
      </c>
      <c r="BK22" s="22" t="s">
        <v>52</v>
      </c>
      <c r="BL22" s="22" t="s">
        <v>52</v>
      </c>
      <c r="BM22" s="22" t="s">
        <v>52</v>
      </c>
      <c r="BN22" s="22" t="s">
        <v>52</v>
      </c>
      <c r="BO22" s="22" t="s">
        <v>52</v>
      </c>
      <c r="BP22" s="588" t="s">
        <v>52</v>
      </c>
      <c r="BQ22" s="588" t="s">
        <v>52</v>
      </c>
      <c r="BR22" s="689"/>
      <c r="BS22" s="689"/>
      <c r="BT22" s="53"/>
    </row>
    <row r="23" spans="1:72" s="8" customFormat="1" ht="15" customHeight="1">
      <c r="A23" s="638"/>
      <c r="B23" s="588"/>
      <c r="C23" s="635"/>
      <c r="D23" s="588"/>
      <c r="E23" s="588"/>
      <c r="F23" s="11" t="s">
        <v>807</v>
      </c>
      <c r="G23" s="588"/>
      <c r="H23" s="588"/>
      <c r="I23" s="612"/>
      <c r="J23" s="235">
        <v>52</v>
      </c>
      <c r="K23" s="590"/>
      <c r="L23" s="235">
        <v>71</v>
      </c>
      <c r="M23" s="606"/>
      <c r="N23" s="74">
        <v>37</v>
      </c>
      <c r="O23" s="618"/>
      <c r="P23" s="246">
        <v>37</v>
      </c>
      <c r="Q23" s="679"/>
      <c r="R23" s="588"/>
      <c r="S23" s="22" t="s">
        <v>52</v>
      </c>
      <c r="T23" s="22" t="s">
        <v>52</v>
      </c>
      <c r="U23" s="22" t="s">
        <v>52</v>
      </c>
      <c r="V23" s="22" t="s">
        <v>52</v>
      </c>
      <c r="W23" s="234" t="s">
        <v>52</v>
      </c>
      <c r="X23" s="618"/>
      <c r="Y23" s="234"/>
      <c r="Z23" s="22" t="s">
        <v>52</v>
      </c>
      <c r="AA23" s="22" t="s">
        <v>52</v>
      </c>
      <c r="AB23" s="22" t="s">
        <v>52</v>
      </c>
      <c r="AC23" s="16" t="s">
        <v>52</v>
      </c>
      <c r="AD23" s="16" t="s">
        <v>52</v>
      </c>
      <c r="AE23" s="16" t="s">
        <v>52</v>
      </c>
      <c r="AF23" s="19" t="s">
        <v>52</v>
      </c>
      <c r="AG23" s="19" t="s">
        <v>52</v>
      </c>
      <c r="AH23" s="19" t="s">
        <v>52</v>
      </c>
      <c r="AI23" s="594"/>
      <c r="AJ23" s="16" t="s">
        <v>52</v>
      </c>
      <c r="AK23" s="16" t="s">
        <v>52</v>
      </c>
      <c r="AL23" s="57" t="s">
        <v>52</v>
      </c>
      <c r="AM23" s="248"/>
      <c r="AN23" s="686"/>
      <c r="AO23" s="22" t="s">
        <v>52</v>
      </c>
      <c r="AP23" s="22" t="s">
        <v>52</v>
      </c>
      <c r="AQ23" s="22" t="s">
        <v>52</v>
      </c>
      <c r="AR23" s="22" t="s">
        <v>52</v>
      </c>
      <c r="AS23" s="604"/>
      <c r="AT23" s="22" t="s">
        <v>52</v>
      </c>
      <c r="AU23" s="22" t="s">
        <v>52</v>
      </c>
      <c r="AV23" s="605"/>
      <c r="AW23" s="22" t="s">
        <v>52</v>
      </c>
      <c r="AX23" s="22" t="s">
        <v>52</v>
      </c>
      <c r="AY23" s="22" t="s">
        <v>52</v>
      </c>
      <c r="AZ23" s="22" t="s">
        <v>52</v>
      </c>
      <c r="BA23" s="22" t="s">
        <v>52</v>
      </c>
      <c r="BB23" s="22" t="s">
        <v>52</v>
      </c>
      <c r="BC23" s="22" t="s">
        <v>52</v>
      </c>
      <c r="BD23" s="22" t="s">
        <v>52</v>
      </c>
      <c r="BE23" s="22" t="s">
        <v>52</v>
      </c>
      <c r="BF23" s="22" t="s">
        <v>52</v>
      </c>
      <c r="BG23" s="22" t="s">
        <v>52</v>
      </c>
      <c r="BH23" s="22" t="s">
        <v>52</v>
      </c>
      <c r="BI23" s="22" t="s">
        <v>52</v>
      </c>
      <c r="BJ23" s="22" t="s">
        <v>52</v>
      </c>
      <c r="BK23" s="22" t="s">
        <v>52</v>
      </c>
      <c r="BL23" s="22" t="s">
        <v>52</v>
      </c>
      <c r="BM23" s="22" t="s">
        <v>52</v>
      </c>
      <c r="BN23" s="22" t="s">
        <v>52</v>
      </c>
      <c r="BO23" s="22" t="s">
        <v>52</v>
      </c>
      <c r="BP23" s="588"/>
      <c r="BQ23" s="588"/>
      <c r="BR23" s="689"/>
      <c r="BS23" s="689"/>
      <c r="BT23" s="53"/>
    </row>
    <row r="24" spans="1:72" s="8" customFormat="1" ht="15" customHeight="1">
      <c r="A24" s="637" t="s">
        <v>1891</v>
      </c>
      <c r="B24" s="588" t="s">
        <v>502</v>
      </c>
      <c r="C24" s="654" t="s">
        <v>503</v>
      </c>
      <c r="D24" s="588" t="s">
        <v>504</v>
      </c>
      <c r="E24" s="569" t="s">
        <v>808</v>
      </c>
      <c r="F24" s="11" t="s">
        <v>505</v>
      </c>
      <c r="G24" s="569" t="s">
        <v>1967</v>
      </c>
      <c r="H24" s="588" t="s">
        <v>810</v>
      </c>
      <c r="I24" s="612" t="s">
        <v>811</v>
      </c>
      <c r="J24" s="235">
        <v>27</v>
      </c>
      <c r="K24" s="569">
        <v>109</v>
      </c>
      <c r="L24" s="235">
        <v>71</v>
      </c>
      <c r="M24" s="606">
        <v>71.073394495412842</v>
      </c>
      <c r="N24" s="74">
        <v>19</v>
      </c>
      <c r="O24" s="617">
        <v>55</v>
      </c>
      <c r="P24" s="246">
        <v>19</v>
      </c>
      <c r="Q24" s="55" t="s">
        <v>812</v>
      </c>
      <c r="R24" s="55" t="s">
        <v>813</v>
      </c>
      <c r="S24" s="11" t="s">
        <v>52</v>
      </c>
      <c r="T24" s="55" t="s">
        <v>814</v>
      </c>
      <c r="U24" s="11" t="s">
        <v>815</v>
      </c>
      <c r="V24" s="11" t="s">
        <v>816</v>
      </c>
      <c r="W24" s="235">
        <v>21</v>
      </c>
      <c r="X24" s="617">
        <f>W24+W25</f>
        <v>66</v>
      </c>
      <c r="Y24" s="235"/>
      <c r="Z24" s="55" t="s">
        <v>52</v>
      </c>
      <c r="AA24" s="55" t="s">
        <v>52</v>
      </c>
      <c r="AB24" s="621" t="s">
        <v>52</v>
      </c>
      <c r="AC24" s="16">
        <v>14</v>
      </c>
      <c r="AD24" s="16" t="s">
        <v>52</v>
      </c>
      <c r="AE24" s="16" t="s">
        <v>52</v>
      </c>
      <c r="AF24" s="16" t="s">
        <v>52</v>
      </c>
      <c r="AG24" s="16" t="s">
        <v>52</v>
      </c>
      <c r="AH24" s="16" t="s">
        <v>52</v>
      </c>
      <c r="AI24" s="594" t="s">
        <v>52</v>
      </c>
      <c r="AJ24" s="16">
        <v>14</v>
      </c>
      <c r="AK24" s="16" t="s">
        <v>817</v>
      </c>
      <c r="AL24" s="285" t="s">
        <v>1973</v>
      </c>
      <c r="AM24" s="289"/>
      <c r="AN24" s="687" t="s">
        <v>818</v>
      </c>
      <c r="AO24" s="11" t="s">
        <v>52</v>
      </c>
      <c r="AP24" s="11" t="s">
        <v>52</v>
      </c>
      <c r="AQ24" s="11" t="s">
        <v>52</v>
      </c>
      <c r="AR24" s="11" t="s">
        <v>52</v>
      </c>
      <c r="AS24" s="626" t="s">
        <v>52</v>
      </c>
      <c r="AT24" s="55" t="s">
        <v>52</v>
      </c>
      <c r="AU24" s="55" t="s">
        <v>52</v>
      </c>
      <c r="AV24" s="626" t="s">
        <v>52</v>
      </c>
      <c r="AW24" s="11">
        <v>27</v>
      </c>
      <c r="AX24" s="11" t="s">
        <v>52</v>
      </c>
      <c r="AY24" s="11" t="s">
        <v>819</v>
      </c>
      <c r="AZ24" s="11" t="s">
        <v>52</v>
      </c>
      <c r="BA24" s="11">
        <v>0</v>
      </c>
      <c r="BB24" s="11" t="s">
        <v>52</v>
      </c>
      <c r="BC24" s="11" t="s">
        <v>608</v>
      </c>
      <c r="BD24" s="11" t="s">
        <v>52</v>
      </c>
      <c r="BE24" s="11" t="s">
        <v>608</v>
      </c>
      <c r="BF24" s="11" t="s">
        <v>52</v>
      </c>
      <c r="BG24" s="11" t="s">
        <v>52</v>
      </c>
      <c r="BH24" s="11" t="s">
        <v>820</v>
      </c>
      <c r="BI24" s="11" t="s">
        <v>52</v>
      </c>
      <c r="BJ24" s="11" t="s">
        <v>52</v>
      </c>
      <c r="BK24" s="11" t="s">
        <v>52</v>
      </c>
      <c r="BL24" s="11" t="s">
        <v>52</v>
      </c>
      <c r="BM24" s="11" t="s">
        <v>821</v>
      </c>
      <c r="BN24" s="11" t="s">
        <v>52</v>
      </c>
      <c r="BO24" s="11" t="s">
        <v>52</v>
      </c>
      <c r="BP24" s="588" t="s">
        <v>52</v>
      </c>
      <c r="BQ24" s="588" t="s">
        <v>52</v>
      </c>
      <c r="BR24" s="605" t="s">
        <v>52</v>
      </c>
      <c r="BS24" s="605" t="s">
        <v>52</v>
      </c>
      <c r="BT24" s="53"/>
    </row>
    <row r="25" spans="1:72" s="8" customFormat="1" ht="15" customHeight="1">
      <c r="A25" s="638"/>
      <c r="B25" s="588"/>
      <c r="C25" s="655"/>
      <c r="D25" s="588"/>
      <c r="E25" s="569"/>
      <c r="F25" s="11" t="s">
        <v>506</v>
      </c>
      <c r="G25" s="570"/>
      <c r="H25" s="588"/>
      <c r="I25" s="612"/>
      <c r="J25" s="235">
        <v>52</v>
      </c>
      <c r="K25" s="570"/>
      <c r="L25" s="235">
        <v>70</v>
      </c>
      <c r="M25" s="606"/>
      <c r="N25" s="74">
        <v>36</v>
      </c>
      <c r="O25" s="618"/>
      <c r="P25" s="246">
        <v>36</v>
      </c>
      <c r="Q25" s="55" t="s">
        <v>822</v>
      </c>
      <c r="R25" s="55" t="s">
        <v>823</v>
      </c>
      <c r="S25" s="11" t="s">
        <v>52</v>
      </c>
      <c r="T25" s="55" t="s">
        <v>824</v>
      </c>
      <c r="U25" s="11" t="s">
        <v>825</v>
      </c>
      <c r="V25" s="11" t="s">
        <v>826</v>
      </c>
      <c r="W25" s="235">
        <v>45</v>
      </c>
      <c r="X25" s="618"/>
      <c r="Y25" s="235"/>
      <c r="Z25" s="55" t="s">
        <v>52</v>
      </c>
      <c r="AA25" s="55" t="s">
        <v>52</v>
      </c>
      <c r="AB25" s="622"/>
      <c r="AC25" s="16">
        <v>18</v>
      </c>
      <c r="AD25" s="16" t="s">
        <v>52</v>
      </c>
      <c r="AE25" s="16" t="s">
        <v>52</v>
      </c>
      <c r="AF25" s="19" t="s">
        <v>52</v>
      </c>
      <c r="AG25" s="19" t="s">
        <v>52</v>
      </c>
      <c r="AH25" s="19" t="s">
        <v>52</v>
      </c>
      <c r="AI25" s="594"/>
      <c r="AJ25" s="16">
        <v>18</v>
      </c>
      <c r="AK25" s="16" t="s">
        <v>827</v>
      </c>
      <c r="AL25" s="285" t="s">
        <v>1974</v>
      </c>
      <c r="AM25" s="290"/>
      <c r="AN25" s="688"/>
      <c r="AO25" s="11" t="s">
        <v>52</v>
      </c>
      <c r="AP25" s="11" t="s">
        <v>52</v>
      </c>
      <c r="AQ25" s="11" t="s">
        <v>52</v>
      </c>
      <c r="AR25" s="11" t="s">
        <v>52</v>
      </c>
      <c r="AS25" s="682"/>
      <c r="AT25" s="55" t="s">
        <v>52</v>
      </c>
      <c r="AU25" s="55" t="s">
        <v>52</v>
      </c>
      <c r="AV25" s="682"/>
      <c r="AW25" s="11">
        <v>52</v>
      </c>
      <c r="AX25" s="11" t="s">
        <v>52</v>
      </c>
      <c r="AY25" s="11" t="s">
        <v>828</v>
      </c>
      <c r="AZ25" s="11" t="s">
        <v>52</v>
      </c>
      <c r="BA25" s="11" t="s">
        <v>829</v>
      </c>
      <c r="BB25" s="11" t="s">
        <v>52</v>
      </c>
      <c r="BC25" s="11" t="s">
        <v>830</v>
      </c>
      <c r="BD25" s="11" t="s">
        <v>52</v>
      </c>
      <c r="BE25" s="11" t="s">
        <v>831</v>
      </c>
      <c r="BF25" s="11" t="s">
        <v>52</v>
      </c>
      <c r="BG25" s="11" t="s">
        <v>52</v>
      </c>
      <c r="BH25" s="11" t="s">
        <v>832</v>
      </c>
      <c r="BI25" s="11" t="s">
        <v>52</v>
      </c>
      <c r="BJ25" s="11" t="s">
        <v>52</v>
      </c>
      <c r="BK25" s="11" t="s">
        <v>52</v>
      </c>
      <c r="BL25" s="11" t="s">
        <v>52</v>
      </c>
      <c r="BM25" s="11" t="s">
        <v>831</v>
      </c>
      <c r="BN25" s="11" t="s">
        <v>52</v>
      </c>
      <c r="BO25" s="11" t="s">
        <v>52</v>
      </c>
      <c r="BP25" s="588"/>
      <c r="BQ25" s="588"/>
      <c r="BR25" s="605"/>
      <c r="BS25" s="605"/>
      <c r="BT25" s="53"/>
    </row>
    <row r="26" spans="1:72" s="8" customFormat="1" ht="15" customHeight="1">
      <c r="A26" s="637" t="s">
        <v>1891</v>
      </c>
      <c r="B26" s="569" t="s">
        <v>507</v>
      </c>
      <c r="C26" s="631" t="s">
        <v>508</v>
      </c>
      <c r="D26" s="569" t="s">
        <v>833</v>
      </c>
      <c r="E26" s="569" t="s">
        <v>753</v>
      </c>
      <c r="F26" s="11" t="s">
        <v>482</v>
      </c>
      <c r="G26" s="11" t="s">
        <v>1968</v>
      </c>
      <c r="H26" s="569" t="s">
        <v>834</v>
      </c>
      <c r="I26" s="677" t="s">
        <v>835</v>
      </c>
      <c r="J26" s="235">
        <v>129</v>
      </c>
      <c r="K26" s="569">
        <v>262</v>
      </c>
      <c r="L26" s="235">
        <v>76</v>
      </c>
      <c r="M26" s="615">
        <v>75.492366412213741</v>
      </c>
      <c r="N26" s="74">
        <v>81</v>
      </c>
      <c r="O26" s="617">
        <v>159</v>
      </c>
      <c r="P26" s="246">
        <v>81</v>
      </c>
      <c r="Q26" s="55" t="s">
        <v>836</v>
      </c>
      <c r="R26" s="65" t="s">
        <v>837</v>
      </c>
      <c r="S26" s="569" t="s">
        <v>52</v>
      </c>
      <c r="T26" s="11" t="s">
        <v>838</v>
      </c>
      <c r="U26" s="11" t="s">
        <v>663</v>
      </c>
      <c r="V26" s="11" t="s">
        <v>839</v>
      </c>
      <c r="W26" s="235">
        <v>94</v>
      </c>
      <c r="X26" s="617">
        <f>W26+W27</f>
        <v>198</v>
      </c>
      <c r="Y26" s="235"/>
      <c r="Z26" s="11" t="s">
        <v>840</v>
      </c>
      <c r="AA26" s="11" t="s">
        <v>841</v>
      </c>
      <c r="AB26" s="11">
        <v>140</v>
      </c>
      <c r="AC26" s="43">
        <v>129</v>
      </c>
      <c r="AD26" s="43">
        <v>8.9</v>
      </c>
      <c r="AE26" s="43" t="s">
        <v>842</v>
      </c>
      <c r="AF26" s="43">
        <v>0.74</v>
      </c>
      <c r="AG26" s="43" t="s">
        <v>843</v>
      </c>
      <c r="AH26" s="43" t="s">
        <v>52</v>
      </c>
      <c r="AI26" s="598" t="s">
        <v>844</v>
      </c>
      <c r="AJ26" s="16">
        <v>129</v>
      </c>
      <c r="AK26" s="16" t="s">
        <v>845</v>
      </c>
      <c r="AL26" s="16" t="s">
        <v>847</v>
      </c>
      <c r="AM26" s="249"/>
      <c r="AN26" s="680" t="s">
        <v>846</v>
      </c>
      <c r="AO26" s="11" t="s">
        <v>52</v>
      </c>
      <c r="AP26" s="11" t="s">
        <v>52</v>
      </c>
      <c r="AQ26" s="11" t="s">
        <v>52</v>
      </c>
      <c r="AR26" s="11" t="s">
        <v>52</v>
      </c>
      <c r="AS26" s="569" t="s">
        <v>52</v>
      </c>
      <c r="AT26" s="55" t="s">
        <v>52</v>
      </c>
      <c r="AU26" s="55" t="s">
        <v>52</v>
      </c>
      <c r="AV26" s="621" t="s">
        <v>52</v>
      </c>
      <c r="AW26" s="11">
        <v>128</v>
      </c>
      <c r="AX26" s="11" t="s">
        <v>848</v>
      </c>
      <c r="AY26" s="11" t="s">
        <v>849</v>
      </c>
      <c r="AZ26" s="11" t="s">
        <v>850</v>
      </c>
      <c r="BA26" s="11" t="s">
        <v>52</v>
      </c>
      <c r="BB26" s="11" t="s">
        <v>851</v>
      </c>
      <c r="BC26" s="11" t="s">
        <v>52</v>
      </c>
      <c r="BD26" s="11" t="s">
        <v>852</v>
      </c>
      <c r="BE26" s="11" t="s">
        <v>52</v>
      </c>
      <c r="BF26" s="11" t="s">
        <v>853</v>
      </c>
      <c r="BG26" s="11" t="s">
        <v>854</v>
      </c>
      <c r="BH26" s="11" t="s">
        <v>52</v>
      </c>
      <c r="BI26" s="11" t="s">
        <v>52</v>
      </c>
      <c r="BJ26" s="11" t="s">
        <v>851</v>
      </c>
      <c r="BK26" s="11" t="s">
        <v>52</v>
      </c>
      <c r="BL26" s="11" t="s">
        <v>52</v>
      </c>
      <c r="BM26" s="11" t="s">
        <v>855</v>
      </c>
      <c r="BN26" s="11" t="s">
        <v>856</v>
      </c>
      <c r="BO26" s="11" t="s">
        <v>857</v>
      </c>
      <c r="BP26" s="569" t="s">
        <v>13</v>
      </c>
      <c r="BQ26" s="569" t="s">
        <v>858</v>
      </c>
      <c r="BR26" s="605" t="s">
        <v>610</v>
      </c>
      <c r="BS26" s="605" t="s">
        <v>859</v>
      </c>
      <c r="BT26" s="53"/>
    </row>
    <row r="27" spans="1:72" s="8" customFormat="1" ht="15" customHeight="1">
      <c r="A27" s="638"/>
      <c r="B27" s="620"/>
      <c r="C27" s="632"/>
      <c r="D27" s="620"/>
      <c r="E27" s="570"/>
      <c r="F27" s="11" t="s">
        <v>510</v>
      </c>
      <c r="G27" s="11"/>
      <c r="H27" s="570"/>
      <c r="I27" s="678"/>
      <c r="J27" s="235">
        <v>133</v>
      </c>
      <c r="K27" s="570"/>
      <c r="L27" s="235">
        <v>75</v>
      </c>
      <c r="M27" s="616"/>
      <c r="N27" s="74">
        <v>78</v>
      </c>
      <c r="O27" s="618"/>
      <c r="P27" s="246">
        <v>78</v>
      </c>
      <c r="Q27" s="55" t="s">
        <v>860</v>
      </c>
      <c r="R27" s="65" t="s">
        <v>861</v>
      </c>
      <c r="S27" s="570"/>
      <c r="T27" s="11" t="s">
        <v>862</v>
      </c>
      <c r="U27" s="11" t="s">
        <v>863</v>
      </c>
      <c r="V27" s="11" t="s">
        <v>864</v>
      </c>
      <c r="W27" s="235">
        <v>104</v>
      </c>
      <c r="X27" s="618"/>
      <c r="Y27" s="235"/>
      <c r="Z27" s="11" t="s">
        <v>865</v>
      </c>
      <c r="AA27" s="11" t="s">
        <v>866</v>
      </c>
      <c r="AB27" s="47">
        <v>62.315789473684212</v>
      </c>
      <c r="AC27" s="43">
        <v>133</v>
      </c>
      <c r="AD27" s="43">
        <v>4.9000000000000004</v>
      </c>
      <c r="AE27" s="43" t="s">
        <v>867</v>
      </c>
      <c r="AF27" s="19" t="s">
        <v>52</v>
      </c>
      <c r="AG27" s="19" t="s">
        <v>52</v>
      </c>
      <c r="AH27" s="19" t="s">
        <v>52</v>
      </c>
      <c r="AI27" s="611"/>
      <c r="AJ27" s="16">
        <v>133</v>
      </c>
      <c r="AK27" s="16" t="s">
        <v>868</v>
      </c>
      <c r="AL27" s="16" t="s">
        <v>869</v>
      </c>
      <c r="AM27" s="250"/>
      <c r="AN27" s="681"/>
      <c r="AO27" s="11" t="s">
        <v>52</v>
      </c>
      <c r="AP27" s="11" t="s">
        <v>52</v>
      </c>
      <c r="AQ27" s="11" t="s">
        <v>52</v>
      </c>
      <c r="AR27" s="11" t="s">
        <v>52</v>
      </c>
      <c r="AS27" s="570"/>
      <c r="AT27" s="55" t="s">
        <v>52</v>
      </c>
      <c r="AU27" s="55" t="s">
        <v>52</v>
      </c>
      <c r="AV27" s="622"/>
      <c r="AW27" s="11">
        <v>130</v>
      </c>
      <c r="AX27" s="11" t="s">
        <v>872</v>
      </c>
      <c r="AY27" s="11" t="s">
        <v>873</v>
      </c>
      <c r="AZ27" s="11" t="s">
        <v>874</v>
      </c>
      <c r="BA27" s="11" t="s">
        <v>52</v>
      </c>
      <c r="BB27" s="11" t="s">
        <v>876</v>
      </c>
      <c r="BC27" s="11" t="s">
        <v>52</v>
      </c>
      <c r="BD27" s="11" t="s">
        <v>877</v>
      </c>
      <c r="BE27" s="11" t="s">
        <v>52</v>
      </c>
      <c r="BF27" s="11" t="s">
        <v>878</v>
      </c>
      <c r="BG27" s="11" t="s">
        <v>879</v>
      </c>
      <c r="BH27" s="11" t="s">
        <v>52</v>
      </c>
      <c r="BI27" s="11" t="s">
        <v>52</v>
      </c>
      <c r="BJ27" s="11" t="s">
        <v>880</v>
      </c>
      <c r="BK27" s="11" t="s">
        <v>52</v>
      </c>
      <c r="BL27" s="11" t="s">
        <v>52</v>
      </c>
      <c r="BM27" s="11" t="s">
        <v>881</v>
      </c>
      <c r="BN27" s="11" t="s">
        <v>882</v>
      </c>
      <c r="BO27" s="11" t="s">
        <v>882</v>
      </c>
      <c r="BP27" s="570"/>
      <c r="BQ27" s="570"/>
      <c r="BR27" s="605"/>
      <c r="BS27" s="605"/>
      <c r="BT27" s="53"/>
    </row>
    <row r="28" spans="1:72" s="8" customFormat="1" ht="15" customHeight="1">
      <c r="A28" s="637" t="s">
        <v>1891</v>
      </c>
      <c r="B28" s="569" t="s">
        <v>507</v>
      </c>
      <c r="C28" s="631" t="s">
        <v>508</v>
      </c>
      <c r="D28" s="569" t="s">
        <v>509</v>
      </c>
      <c r="E28" s="569" t="s">
        <v>883</v>
      </c>
      <c r="F28" s="11" t="s">
        <v>482</v>
      </c>
      <c r="G28" s="11" t="s">
        <v>1969</v>
      </c>
      <c r="H28" s="569" t="s">
        <v>884</v>
      </c>
      <c r="I28" s="677" t="s">
        <v>885</v>
      </c>
      <c r="J28" s="235">
        <v>81</v>
      </c>
      <c r="K28" s="569">
        <v>160</v>
      </c>
      <c r="L28" s="235">
        <v>76</v>
      </c>
      <c r="M28" s="615">
        <v>75.506249999999994</v>
      </c>
      <c r="N28" s="74">
        <v>42</v>
      </c>
      <c r="O28" s="617">
        <v>85</v>
      </c>
      <c r="P28" s="246">
        <v>42</v>
      </c>
      <c r="Q28" s="55" t="s">
        <v>886</v>
      </c>
      <c r="R28" s="65" t="s">
        <v>887</v>
      </c>
      <c r="S28" s="569" t="s">
        <v>52</v>
      </c>
      <c r="T28" s="11" t="s">
        <v>888</v>
      </c>
      <c r="U28" s="11" t="s">
        <v>889</v>
      </c>
      <c r="V28" s="11" t="s">
        <v>890</v>
      </c>
      <c r="W28" s="235">
        <v>56</v>
      </c>
      <c r="X28" s="617">
        <f>W28+W29</f>
        <v>120</v>
      </c>
      <c r="Y28" s="235"/>
      <c r="Z28" s="11" t="s">
        <v>891</v>
      </c>
      <c r="AA28" s="11" t="s">
        <v>892</v>
      </c>
      <c r="AB28" s="11">
        <v>168</v>
      </c>
      <c r="AC28" s="43">
        <v>81</v>
      </c>
      <c r="AD28" s="43">
        <v>9.5</v>
      </c>
      <c r="AE28" s="43" t="s">
        <v>894</v>
      </c>
      <c r="AF28" s="16">
        <v>0.77</v>
      </c>
      <c r="AG28" s="16" t="s">
        <v>895</v>
      </c>
      <c r="AH28" s="16" t="s">
        <v>52</v>
      </c>
      <c r="AI28" s="598" t="s">
        <v>896</v>
      </c>
      <c r="AJ28" s="16">
        <v>81</v>
      </c>
      <c r="AK28" s="16" t="s">
        <v>897</v>
      </c>
      <c r="AL28" s="16" t="s">
        <v>899</v>
      </c>
      <c r="AM28" s="249"/>
      <c r="AN28" s="680" t="s">
        <v>898</v>
      </c>
      <c r="AO28" s="11" t="s">
        <v>52</v>
      </c>
      <c r="AP28" s="11" t="s">
        <v>52</v>
      </c>
      <c r="AQ28" s="11" t="s">
        <v>52</v>
      </c>
      <c r="AR28" s="11" t="s">
        <v>52</v>
      </c>
      <c r="AS28" s="569" t="s">
        <v>52</v>
      </c>
      <c r="AT28" s="55" t="s">
        <v>52</v>
      </c>
      <c r="AU28" s="55" t="s">
        <v>52</v>
      </c>
      <c r="AV28" s="621" t="s">
        <v>52</v>
      </c>
      <c r="AW28" s="11" t="s">
        <v>52</v>
      </c>
      <c r="AX28" s="11" t="s">
        <v>52</v>
      </c>
      <c r="AY28" s="11" t="s">
        <v>52</v>
      </c>
      <c r="AZ28" s="11" t="s">
        <v>52</v>
      </c>
      <c r="BA28" s="11" t="s">
        <v>52</v>
      </c>
      <c r="BB28" s="11" t="s">
        <v>52</v>
      </c>
      <c r="BC28" s="11" t="s">
        <v>52</v>
      </c>
      <c r="BD28" s="11" t="s">
        <v>52</v>
      </c>
      <c r="BE28" s="11" t="s">
        <v>52</v>
      </c>
      <c r="BF28" s="11" t="s">
        <v>52</v>
      </c>
      <c r="BG28" s="11" t="s">
        <v>52</v>
      </c>
      <c r="BH28" s="11" t="s">
        <v>52</v>
      </c>
      <c r="BI28" s="11" t="s">
        <v>52</v>
      </c>
      <c r="BJ28" s="11" t="s">
        <v>52</v>
      </c>
      <c r="BK28" s="11" t="s">
        <v>52</v>
      </c>
      <c r="BL28" s="11" t="s">
        <v>52</v>
      </c>
      <c r="BM28" s="11" t="s">
        <v>52</v>
      </c>
      <c r="BN28" s="11" t="s">
        <v>52</v>
      </c>
      <c r="BO28" s="11" t="s">
        <v>52</v>
      </c>
      <c r="BP28" s="569" t="s">
        <v>52</v>
      </c>
      <c r="BQ28" s="569" t="s">
        <v>52</v>
      </c>
      <c r="BR28" s="690"/>
      <c r="BS28" s="690"/>
      <c r="BT28" s="53"/>
    </row>
    <row r="29" spans="1:72" s="8" customFormat="1" ht="15" customHeight="1">
      <c r="A29" s="638"/>
      <c r="B29" s="620"/>
      <c r="C29" s="632"/>
      <c r="D29" s="620"/>
      <c r="E29" s="570"/>
      <c r="F29" s="11" t="s">
        <v>492</v>
      </c>
      <c r="G29" s="11"/>
      <c r="H29" s="570"/>
      <c r="I29" s="678"/>
      <c r="J29" s="235">
        <v>79</v>
      </c>
      <c r="K29" s="570"/>
      <c r="L29" s="235">
        <v>75</v>
      </c>
      <c r="M29" s="616"/>
      <c r="N29" s="74">
        <v>43</v>
      </c>
      <c r="O29" s="618"/>
      <c r="P29" s="246">
        <v>43</v>
      </c>
      <c r="Q29" s="55" t="s">
        <v>901</v>
      </c>
      <c r="R29" s="65" t="s">
        <v>902</v>
      </c>
      <c r="S29" s="570"/>
      <c r="T29" s="11" t="s">
        <v>903</v>
      </c>
      <c r="U29" s="11" t="s">
        <v>904</v>
      </c>
      <c r="V29" s="11" t="s">
        <v>905</v>
      </c>
      <c r="W29" s="235">
        <v>64</v>
      </c>
      <c r="X29" s="618"/>
      <c r="Y29" s="235"/>
      <c r="Z29" s="11" t="s">
        <v>906</v>
      </c>
      <c r="AA29" s="11" t="s">
        <v>907</v>
      </c>
      <c r="AB29" s="11">
        <v>56</v>
      </c>
      <c r="AC29" s="43">
        <v>79</v>
      </c>
      <c r="AD29" s="43">
        <v>4.5999999999999996</v>
      </c>
      <c r="AE29" s="43" t="s">
        <v>909</v>
      </c>
      <c r="AF29" s="19" t="s">
        <v>52</v>
      </c>
      <c r="AG29" s="19" t="s">
        <v>52</v>
      </c>
      <c r="AH29" s="19" t="s">
        <v>52</v>
      </c>
      <c r="AI29" s="611"/>
      <c r="AJ29" s="16">
        <v>79</v>
      </c>
      <c r="AK29" s="16" t="s">
        <v>910</v>
      </c>
      <c r="AL29" s="16" t="s">
        <v>911</v>
      </c>
      <c r="AM29" s="250"/>
      <c r="AN29" s="681"/>
      <c r="AO29" s="11" t="s">
        <v>52</v>
      </c>
      <c r="AP29" s="11" t="s">
        <v>52</v>
      </c>
      <c r="AQ29" s="11" t="s">
        <v>52</v>
      </c>
      <c r="AR29" s="11" t="s">
        <v>52</v>
      </c>
      <c r="AS29" s="570"/>
      <c r="AT29" s="55" t="s">
        <v>52</v>
      </c>
      <c r="AU29" s="55" t="s">
        <v>52</v>
      </c>
      <c r="AV29" s="622"/>
      <c r="AW29" s="11" t="s">
        <v>52</v>
      </c>
      <c r="AX29" s="11" t="s">
        <v>52</v>
      </c>
      <c r="AY29" s="11" t="s">
        <v>52</v>
      </c>
      <c r="AZ29" s="11" t="s">
        <v>52</v>
      </c>
      <c r="BA29" s="11" t="s">
        <v>52</v>
      </c>
      <c r="BB29" s="11" t="s">
        <v>52</v>
      </c>
      <c r="BC29" s="11" t="s">
        <v>52</v>
      </c>
      <c r="BD29" s="11" t="s">
        <v>52</v>
      </c>
      <c r="BE29" s="11" t="s">
        <v>52</v>
      </c>
      <c r="BF29" s="11" t="s">
        <v>52</v>
      </c>
      <c r="BG29" s="11" t="s">
        <v>52</v>
      </c>
      <c r="BH29" s="11" t="s">
        <v>52</v>
      </c>
      <c r="BI29" s="11" t="s">
        <v>52</v>
      </c>
      <c r="BJ29" s="11" t="s">
        <v>52</v>
      </c>
      <c r="BK29" s="11" t="s">
        <v>52</v>
      </c>
      <c r="BL29" s="11" t="s">
        <v>52</v>
      </c>
      <c r="BM29" s="11" t="s">
        <v>52</v>
      </c>
      <c r="BN29" s="11" t="s">
        <v>52</v>
      </c>
      <c r="BO29" s="11" t="s">
        <v>52</v>
      </c>
      <c r="BP29" s="570"/>
      <c r="BQ29" s="570"/>
      <c r="BR29" s="691"/>
      <c r="BS29" s="691"/>
      <c r="BT29" s="53"/>
    </row>
    <row r="30" spans="1:72" s="8" customFormat="1" ht="15" customHeight="1">
      <c r="A30" s="637" t="s">
        <v>1891</v>
      </c>
      <c r="B30" s="569" t="s">
        <v>507</v>
      </c>
      <c r="C30" s="631" t="s">
        <v>508</v>
      </c>
      <c r="D30" s="639" t="s">
        <v>912</v>
      </c>
      <c r="E30" s="569" t="s">
        <v>913</v>
      </c>
      <c r="F30" s="11" t="s">
        <v>482</v>
      </c>
      <c r="G30" s="569" t="s">
        <v>914</v>
      </c>
      <c r="H30" s="569" t="s">
        <v>915</v>
      </c>
      <c r="I30" s="677" t="s">
        <v>917</v>
      </c>
      <c r="J30" s="235">
        <v>52</v>
      </c>
      <c r="K30" s="569">
        <v>116</v>
      </c>
      <c r="L30" s="235" t="s">
        <v>52</v>
      </c>
      <c r="M30" s="615" t="s">
        <v>52</v>
      </c>
      <c r="N30" s="74" t="s">
        <v>52</v>
      </c>
      <c r="O30" s="615" t="s">
        <v>52</v>
      </c>
      <c r="P30" s="246" t="s">
        <v>52</v>
      </c>
      <c r="Q30" s="55" t="s">
        <v>52</v>
      </c>
      <c r="R30" s="11" t="s">
        <v>622</v>
      </c>
      <c r="S30" s="569" t="s">
        <v>52</v>
      </c>
      <c r="T30" s="11" t="s">
        <v>52</v>
      </c>
      <c r="U30" s="11" t="s">
        <v>52</v>
      </c>
      <c r="V30" s="11" t="s">
        <v>52</v>
      </c>
      <c r="W30" s="235" t="s">
        <v>52</v>
      </c>
      <c r="X30" s="617" t="s">
        <v>52</v>
      </c>
      <c r="Y30" s="235"/>
      <c r="Z30" s="11" t="s">
        <v>52</v>
      </c>
      <c r="AA30" s="11" t="s">
        <v>52</v>
      </c>
      <c r="AB30" s="11" t="s">
        <v>52</v>
      </c>
      <c r="AC30" s="43">
        <v>52</v>
      </c>
      <c r="AD30" s="43">
        <v>14.2</v>
      </c>
      <c r="AE30" s="43" t="s">
        <v>918</v>
      </c>
      <c r="AF30" s="43">
        <v>0.64</v>
      </c>
      <c r="AG30" s="43" t="s">
        <v>919</v>
      </c>
      <c r="AH30" s="16" t="s">
        <v>52</v>
      </c>
      <c r="AI30" s="598" t="s">
        <v>920</v>
      </c>
      <c r="AJ30" s="16">
        <v>52</v>
      </c>
      <c r="AK30" s="16" t="s">
        <v>921</v>
      </c>
      <c r="AL30" s="16" t="s">
        <v>922</v>
      </c>
      <c r="AM30" s="249"/>
      <c r="AN30" s="607" t="s">
        <v>923</v>
      </c>
      <c r="AO30" s="11" t="s">
        <v>52</v>
      </c>
      <c r="AP30" s="11" t="s">
        <v>52</v>
      </c>
      <c r="AQ30" s="11" t="s">
        <v>52</v>
      </c>
      <c r="AR30" s="11" t="s">
        <v>52</v>
      </c>
      <c r="AS30" s="569" t="s">
        <v>52</v>
      </c>
      <c r="AT30" s="55" t="s">
        <v>52</v>
      </c>
      <c r="AU30" s="55" t="s">
        <v>52</v>
      </c>
      <c r="AV30" s="621" t="s">
        <v>52</v>
      </c>
      <c r="AW30" s="11" t="s">
        <v>52</v>
      </c>
      <c r="AX30" s="11" t="s">
        <v>52</v>
      </c>
      <c r="AY30" s="11" t="s">
        <v>52</v>
      </c>
      <c r="AZ30" s="11" t="s">
        <v>52</v>
      </c>
      <c r="BA30" s="11" t="s">
        <v>52</v>
      </c>
      <c r="BB30" s="11" t="s">
        <v>52</v>
      </c>
      <c r="BC30" s="11" t="s">
        <v>52</v>
      </c>
      <c r="BD30" s="11" t="s">
        <v>52</v>
      </c>
      <c r="BE30" s="11" t="s">
        <v>52</v>
      </c>
      <c r="BF30" s="11" t="s">
        <v>52</v>
      </c>
      <c r="BG30" s="11" t="s">
        <v>52</v>
      </c>
      <c r="BH30" s="11" t="s">
        <v>52</v>
      </c>
      <c r="BI30" s="11" t="s">
        <v>52</v>
      </c>
      <c r="BJ30" s="11" t="s">
        <v>52</v>
      </c>
      <c r="BK30" s="11" t="s">
        <v>52</v>
      </c>
      <c r="BL30" s="11" t="s">
        <v>52</v>
      </c>
      <c r="BM30" s="11" t="s">
        <v>52</v>
      </c>
      <c r="BN30" s="11" t="s">
        <v>52</v>
      </c>
      <c r="BO30" s="11" t="s">
        <v>52</v>
      </c>
      <c r="BP30" s="569" t="s">
        <v>52</v>
      </c>
      <c r="BQ30" s="569" t="s">
        <v>52</v>
      </c>
      <c r="BR30" s="690"/>
      <c r="BS30" s="690"/>
      <c r="BT30" s="53"/>
    </row>
    <row r="31" spans="1:72" s="8" customFormat="1" ht="15" customHeight="1">
      <c r="A31" s="638"/>
      <c r="B31" s="569"/>
      <c r="C31" s="631"/>
      <c r="D31" s="639"/>
      <c r="E31" s="569"/>
      <c r="F31" s="11" t="s">
        <v>510</v>
      </c>
      <c r="G31" s="570"/>
      <c r="H31" s="570"/>
      <c r="I31" s="678"/>
      <c r="J31" s="235">
        <v>64</v>
      </c>
      <c r="K31" s="570"/>
      <c r="L31" s="235" t="s">
        <v>52</v>
      </c>
      <c r="M31" s="616"/>
      <c r="N31" s="74" t="s">
        <v>52</v>
      </c>
      <c r="O31" s="616"/>
      <c r="P31" s="246" t="s">
        <v>52</v>
      </c>
      <c r="Q31" s="55" t="s">
        <v>52</v>
      </c>
      <c r="R31" s="11" t="s">
        <v>622</v>
      </c>
      <c r="S31" s="570"/>
      <c r="T31" s="11" t="s">
        <v>52</v>
      </c>
      <c r="U31" s="11" t="s">
        <v>52</v>
      </c>
      <c r="V31" s="11" t="s">
        <v>52</v>
      </c>
      <c r="W31" s="235" t="s">
        <v>52</v>
      </c>
      <c r="X31" s="618"/>
      <c r="Y31" s="235"/>
      <c r="Z31" s="11" t="s">
        <v>52</v>
      </c>
      <c r="AA31" s="11" t="s">
        <v>52</v>
      </c>
      <c r="AB31" s="11" t="s">
        <v>52</v>
      </c>
      <c r="AC31" s="43">
        <v>64</v>
      </c>
      <c r="AD31" s="43">
        <v>7.3</v>
      </c>
      <c r="AE31" s="43" t="s">
        <v>924</v>
      </c>
      <c r="AF31" s="19" t="s">
        <v>52</v>
      </c>
      <c r="AG31" s="19" t="s">
        <v>52</v>
      </c>
      <c r="AH31" s="19" t="s">
        <v>52</v>
      </c>
      <c r="AI31" s="611"/>
      <c r="AJ31" s="16">
        <v>64</v>
      </c>
      <c r="AK31" s="16" t="s">
        <v>925</v>
      </c>
      <c r="AL31" s="16" t="s">
        <v>926</v>
      </c>
      <c r="AM31" s="250"/>
      <c r="AN31" s="675"/>
      <c r="AO31" s="11" t="s">
        <v>52</v>
      </c>
      <c r="AP31" s="11" t="s">
        <v>52</v>
      </c>
      <c r="AQ31" s="11" t="s">
        <v>52</v>
      </c>
      <c r="AR31" s="11" t="s">
        <v>52</v>
      </c>
      <c r="AS31" s="570"/>
      <c r="AT31" s="55" t="s">
        <v>52</v>
      </c>
      <c r="AU31" s="55" t="s">
        <v>52</v>
      </c>
      <c r="AV31" s="622"/>
      <c r="AW31" s="11" t="s">
        <v>52</v>
      </c>
      <c r="AX31" s="11" t="s">
        <v>52</v>
      </c>
      <c r="AY31" s="11" t="s">
        <v>52</v>
      </c>
      <c r="AZ31" s="11" t="s">
        <v>52</v>
      </c>
      <c r="BA31" s="11" t="s">
        <v>52</v>
      </c>
      <c r="BB31" s="11" t="s">
        <v>52</v>
      </c>
      <c r="BC31" s="11" t="s">
        <v>52</v>
      </c>
      <c r="BD31" s="11" t="s">
        <v>52</v>
      </c>
      <c r="BE31" s="11" t="s">
        <v>52</v>
      </c>
      <c r="BF31" s="11" t="s">
        <v>52</v>
      </c>
      <c r="BG31" s="11" t="s">
        <v>52</v>
      </c>
      <c r="BH31" s="11" t="s">
        <v>52</v>
      </c>
      <c r="BI31" s="11" t="s">
        <v>52</v>
      </c>
      <c r="BJ31" s="11" t="s">
        <v>52</v>
      </c>
      <c r="BK31" s="11" t="s">
        <v>52</v>
      </c>
      <c r="BL31" s="11" t="s">
        <v>52</v>
      </c>
      <c r="BM31" s="11" t="s">
        <v>52</v>
      </c>
      <c r="BN31" s="11" t="s">
        <v>52</v>
      </c>
      <c r="BO31" s="11" t="s">
        <v>52</v>
      </c>
      <c r="BP31" s="570"/>
      <c r="BQ31" s="570"/>
      <c r="BR31" s="691"/>
      <c r="BS31" s="691"/>
      <c r="BT31" s="53"/>
    </row>
    <row r="32" spans="1:72" s="8" customFormat="1" ht="15" customHeight="1">
      <c r="A32" s="637" t="s">
        <v>1891</v>
      </c>
      <c r="B32" s="569" t="s">
        <v>507</v>
      </c>
      <c r="C32" s="631" t="s">
        <v>508</v>
      </c>
      <c r="D32" s="639" t="s">
        <v>912</v>
      </c>
      <c r="E32" s="569" t="s">
        <v>913</v>
      </c>
      <c r="F32" s="11" t="s">
        <v>482</v>
      </c>
      <c r="G32" s="569" t="s">
        <v>914</v>
      </c>
      <c r="H32" s="569" t="s">
        <v>929</v>
      </c>
      <c r="I32" s="677" t="s">
        <v>930</v>
      </c>
      <c r="J32" s="235">
        <v>77</v>
      </c>
      <c r="K32" s="569">
        <v>146</v>
      </c>
      <c r="L32" s="235" t="s">
        <v>52</v>
      </c>
      <c r="M32" s="615" t="s">
        <v>52</v>
      </c>
      <c r="N32" s="74" t="s">
        <v>52</v>
      </c>
      <c r="O32" s="615" t="s">
        <v>52</v>
      </c>
      <c r="P32" s="246" t="s">
        <v>52</v>
      </c>
      <c r="Q32" s="55" t="s">
        <v>52</v>
      </c>
      <c r="R32" s="11" t="s">
        <v>622</v>
      </c>
      <c r="S32" s="569" t="s">
        <v>52</v>
      </c>
      <c r="T32" s="11" t="s">
        <v>52</v>
      </c>
      <c r="U32" s="11" t="s">
        <v>52</v>
      </c>
      <c r="V32" s="11" t="s">
        <v>52</v>
      </c>
      <c r="W32" s="235" t="s">
        <v>52</v>
      </c>
      <c r="X32" s="617" t="s">
        <v>52</v>
      </c>
      <c r="Y32" s="235"/>
      <c r="Z32" s="11" t="s">
        <v>52</v>
      </c>
      <c r="AA32" s="11" t="s">
        <v>52</v>
      </c>
      <c r="AB32" s="11" t="s">
        <v>52</v>
      </c>
      <c r="AC32" s="43">
        <v>77</v>
      </c>
      <c r="AD32" s="43">
        <v>5.9</v>
      </c>
      <c r="AE32" s="43" t="s">
        <v>931</v>
      </c>
      <c r="AF32" s="16">
        <v>0.77</v>
      </c>
      <c r="AG32" s="16" t="s">
        <v>932</v>
      </c>
      <c r="AH32" s="16" t="s">
        <v>52</v>
      </c>
      <c r="AI32" s="598" t="s">
        <v>933</v>
      </c>
      <c r="AJ32" s="16">
        <v>77</v>
      </c>
      <c r="AK32" s="16" t="s">
        <v>934</v>
      </c>
      <c r="AL32" s="16" t="s">
        <v>935</v>
      </c>
      <c r="AM32" s="249"/>
      <c r="AN32" s="607" t="s">
        <v>936</v>
      </c>
      <c r="AO32" s="11" t="s">
        <v>52</v>
      </c>
      <c r="AP32" s="11" t="s">
        <v>52</v>
      </c>
      <c r="AQ32" s="11" t="s">
        <v>52</v>
      </c>
      <c r="AR32" s="11" t="s">
        <v>52</v>
      </c>
      <c r="AS32" s="569" t="s">
        <v>52</v>
      </c>
      <c r="AT32" s="55" t="s">
        <v>52</v>
      </c>
      <c r="AU32" s="55" t="s">
        <v>52</v>
      </c>
      <c r="AV32" s="621" t="s">
        <v>52</v>
      </c>
      <c r="AW32" s="11" t="s">
        <v>52</v>
      </c>
      <c r="AX32" s="11" t="s">
        <v>52</v>
      </c>
      <c r="AY32" s="11" t="s">
        <v>52</v>
      </c>
      <c r="AZ32" s="11" t="s">
        <v>52</v>
      </c>
      <c r="BA32" s="11" t="s">
        <v>52</v>
      </c>
      <c r="BB32" s="11" t="s">
        <v>52</v>
      </c>
      <c r="BC32" s="11" t="s">
        <v>52</v>
      </c>
      <c r="BD32" s="11" t="s">
        <v>52</v>
      </c>
      <c r="BE32" s="11" t="s">
        <v>52</v>
      </c>
      <c r="BF32" s="11" t="s">
        <v>52</v>
      </c>
      <c r="BG32" s="11" t="s">
        <v>52</v>
      </c>
      <c r="BH32" s="11" t="s">
        <v>52</v>
      </c>
      <c r="BI32" s="11" t="s">
        <v>52</v>
      </c>
      <c r="BJ32" s="11" t="s">
        <v>52</v>
      </c>
      <c r="BK32" s="11" t="s">
        <v>52</v>
      </c>
      <c r="BL32" s="11" t="s">
        <v>52</v>
      </c>
      <c r="BM32" s="11" t="s">
        <v>52</v>
      </c>
      <c r="BN32" s="11" t="s">
        <v>52</v>
      </c>
      <c r="BO32" s="11" t="s">
        <v>52</v>
      </c>
      <c r="BP32" s="569" t="s">
        <v>52</v>
      </c>
      <c r="BQ32" s="569" t="s">
        <v>52</v>
      </c>
      <c r="BR32" s="690"/>
      <c r="BS32" s="690"/>
      <c r="BT32" s="53"/>
    </row>
    <row r="33" spans="1:72" s="8" customFormat="1" ht="15" customHeight="1">
      <c r="A33" s="638"/>
      <c r="B33" s="569"/>
      <c r="C33" s="631"/>
      <c r="D33" s="639"/>
      <c r="E33" s="569"/>
      <c r="F33" s="11" t="s">
        <v>510</v>
      </c>
      <c r="G33" s="570"/>
      <c r="H33" s="570"/>
      <c r="I33" s="678"/>
      <c r="J33" s="235">
        <v>69</v>
      </c>
      <c r="K33" s="570"/>
      <c r="L33" s="235" t="s">
        <v>52</v>
      </c>
      <c r="M33" s="616"/>
      <c r="N33" s="74" t="s">
        <v>52</v>
      </c>
      <c r="O33" s="616"/>
      <c r="P33" s="246" t="s">
        <v>52</v>
      </c>
      <c r="Q33" s="55" t="s">
        <v>52</v>
      </c>
      <c r="R33" s="11" t="s">
        <v>622</v>
      </c>
      <c r="S33" s="570"/>
      <c r="T33" s="11" t="s">
        <v>52</v>
      </c>
      <c r="U33" s="11" t="s">
        <v>52</v>
      </c>
      <c r="V33" s="11" t="s">
        <v>52</v>
      </c>
      <c r="W33" s="235" t="s">
        <v>52</v>
      </c>
      <c r="X33" s="618"/>
      <c r="Y33" s="235"/>
      <c r="Z33" s="11" t="s">
        <v>52</v>
      </c>
      <c r="AA33" s="11" t="s">
        <v>52</v>
      </c>
      <c r="AB33" s="11" t="s">
        <v>52</v>
      </c>
      <c r="AC33" s="43">
        <v>69</v>
      </c>
      <c r="AD33" s="43">
        <v>3.8</v>
      </c>
      <c r="AE33" s="43" t="s">
        <v>938</v>
      </c>
      <c r="AF33" s="19" t="s">
        <v>52</v>
      </c>
      <c r="AG33" s="19" t="s">
        <v>52</v>
      </c>
      <c r="AH33" s="19" t="s">
        <v>52</v>
      </c>
      <c r="AI33" s="611"/>
      <c r="AJ33" s="16">
        <v>69</v>
      </c>
      <c r="AK33" s="16" t="s">
        <v>939</v>
      </c>
      <c r="AL33" s="16" t="s">
        <v>941</v>
      </c>
      <c r="AM33" s="250"/>
      <c r="AN33" s="675"/>
      <c r="AO33" s="11" t="s">
        <v>52</v>
      </c>
      <c r="AP33" s="11" t="s">
        <v>52</v>
      </c>
      <c r="AQ33" s="11" t="s">
        <v>52</v>
      </c>
      <c r="AR33" s="11" t="s">
        <v>52</v>
      </c>
      <c r="AS33" s="570"/>
      <c r="AT33" s="55" t="s">
        <v>52</v>
      </c>
      <c r="AU33" s="55" t="s">
        <v>52</v>
      </c>
      <c r="AV33" s="622"/>
      <c r="AW33" s="11" t="s">
        <v>52</v>
      </c>
      <c r="AX33" s="11" t="s">
        <v>52</v>
      </c>
      <c r="AY33" s="11" t="s">
        <v>52</v>
      </c>
      <c r="AZ33" s="11" t="s">
        <v>52</v>
      </c>
      <c r="BA33" s="11" t="s">
        <v>52</v>
      </c>
      <c r="BB33" s="11" t="s">
        <v>52</v>
      </c>
      <c r="BC33" s="11" t="s">
        <v>52</v>
      </c>
      <c r="BD33" s="11" t="s">
        <v>52</v>
      </c>
      <c r="BE33" s="11" t="s">
        <v>52</v>
      </c>
      <c r="BF33" s="11" t="s">
        <v>52</v>
      </c>
      <c r="BG33" s="11" t="s">
        <v>52</v>
      </c>
      <c r="BH33" s="11" t="s">
        <v>52</v>
      </c>
      <c r="BI33" s="11" t="s">
        <v>52</v>
      </c>
      <c r="BJ33" s="11" t="s">
        <v>52</v>
      </c>
      <c r="BK33" s="11" t="s">
        <v>52</v>
      </c>
      <c r="BL33" s="11" t="s">
        <v>52</v>
      </c>
      <c r="BM33" s="11" t="s">
        <v>52</v>
      </c>
      <c r="BN33" s="11" t="s">
        <v>52</v>
      </c>
      <c r="BO33" s="11" t="s">
        <v>52</v>
      </c>
      <c r="BP33" s="570"/>
      <c r="BQ33" s="570"/>
      <c r="BR33" s="691"/>
      <c r="BS33" s="691"/>
      <c r="BT33" s="53"/>
    </row>
    <row r="34" spans="1:72" s="8" customFormat="1" ht="15" customHeight="1">
      <c r="A34" s="637" t="s">
        <v>1891</v>
      </c>
      <c r="B34" s="569" t="s">
        <v>507</v>
      </c>
      <c r="C34" s="631" t="s">
        <v>508</v>
      </c>
      <c r="D34" s="639" t="s">
        <v>912</v>
      </c>
      <c r="E34" s="569" t="s">
        <v>913</v>
      </c>
      <c r="F34" s="11" t="s">
        <v>482</v>
      </c>
      <c r="G34" s="569" t="s">
        <v>657</v>
      </c>
      <c r="H34" s="569" t="s">
        <v>915</v>
      </c>
      <c r="I34" s="677" t="s">
        <v>917</v>
      </c>
      <c r="J34" s="235">
        <v>36</v>
      </c>
      <c r="K34" s="569">
        <v>74</v>
      </c>
      <c r="L34" s="235" t="s">
        <v>52</v>
      </c>
      <c r="M34" s="615" t="s">
        <v>52</v>
      </c>
      <c r="N34" s="74" t="s">
        <v>52</v>
      </c>
      <c r="O34" s="615" t="s">
        <v>52</v>
      </c>
      <c r="P34" s="246" t="s">
        <v>52</v>
      </c>
      <c r="Q34" s="55" t="s">
        <v>52</v>
      </c>
      <c r="R34" s="11" t="s">
        <v>622</v>
      </c>
      <c r="S34" s="569" t="s">
        <v>52</v>
      </c>
      <c r="T34" s="11" t="s">
        <v>52</v>
      </c>
      <c r="U34" s="11" t="s">
        <v>52</v>
      </c>
      <c r="V34" s="11" t="s">
        <v>52</v>
      </c>
      <c r="W34" s="235" t="s">
        <v>52</v>
      </c>
      <c r="X34" s="617" t="s">
        <v>52</v>
      </c>
      <c r="Y34" s="235"/>
      <c r="Z34" s="11" t="s">
        <v>52</v>
      </c>
      <c r="AA34" s="11" t="s">
        <v>52</v>
      </c>
      <c r="AB34" s="11" t="s">
        <v>52</v>
      </c>
      <c r="AC34" s="43">
        <v>36</v>
      </c>
      <c r="AD34" s="43">
        <v>14.9</v>
      </c>
      <c r="AE34" s="43" t="s">
        <v>943</v>
      </c>
      <c r="AF34" s="43">
        <v>0.68</v>
      </c>
      <c r="AG34" s="43" t="s">
        <v>944</v>
      </c>
      <c r="AH34" s="16" t="s">
        <v>52</v>
      </c>
      <c r="AI34" s="598" t="s">
        <v>945</v>
      </c>
      <c r="AJ34" s="16">
        <v>36</v>
      </c>
      <c r="AK34" s="16" t="s">
        <v>947</v>
      </c>
      <c r="AL34" s="16" t="s">
        <v>948</v>
      </c>
      <c r="AM34" s="249"/>
      <c r="AN34" s="607" t="s">
        <v>949</v>
      </c>
      <c r="AO34" s="11" t="s">
        <v>52</v>
      </c>
      <c r="AP34" s="11" t="s">
        <v>52</v>
      </c>
      <c r="AQ34" s="11" t="s">
        <v>52</v>
      </c>
      <c r="AR34" s="11" t="s">
        <v>52</v>
      </c>
      <c r="AS34" s="569" t="s">
        <v>52</v>
      </c>
      <c r="AT34" s="55" t="s">
        <v>52</v>
      </c>
      <c r="AU34" s="55" t="s">
        <v>52</v>
      </c>
      <c r="AV34" s="621" t="s">
        <v>52</v>
      </c>
      <c r="AW34" s="11" t="s">
        <v>52</v>
      </c>
      <c r="AX34" s="11" t="s">
        <v>52</v>
      </c>
      <c r="AY34" s="11" t="s">
        <v>52</v>
      </c>
      <c r="AZ34" s="11" t="s">
        <v>52</v>
      </c>
      <c r="BA34" s="11" t="s">
        <v>52</v>
      </c>
      <c r="BB34" s="11" t="s">
        <v>52</v>
      </c>
      <c r="BC34" s="11" t="s">
        <v>52</v>
      </c>
      <c r="BD34" s="11" t="s">
        <v>52</v>
      </c>
      <c r="BE34" s="11" t="s">
        <v>52</v>
      </c>
      <c r="BF34" s="11" t="s">
        <v>52</v>
      </c>
      <c r="BG34" s="11" t="s">
        <v>52</v>
      </c>
      <c r="BH34" s="11" t="s">
        <v>52</v>
      </c>
      <c r="BI34" s="11" t="s">
        <v>52</v>
      </c>
      <c r="BJ34" s="11" t="s">
        <v>52</v>
      </c>
      <c r="BK34" s="11" t="s">
        <v>52</v>
      </c>
      <c r="BL34" s="11" t="s">
        <v>52</v>
      </c>
      <c r="BM34" s="11" t="s">
        <v>52</v>
      </c>
      <c r="BN34" s="11" t="s">
        <v>52</v>
      </c>
      <c r="BO34" s="11" t="s">
        <v>52</v>
      </c>
      <c r="BP34" s="569" t="s">
        <v>52</v>
      </c>
      <c r="BQ34" s="569" t="s">
        <v>52</v>
      </c>
      <c r="BR34" s="690"/>
      <c r="BS34" s="690"/>
      <c r="BT34" s="53"/>
    </row>
    <row r="35" spans="1:72" s="8" customFormat="1" ht="15" customHeight="1">
      <c r="A35" s="638"/>
      <c r="B35" s="636"/>
      <c r="C35" s="632"/>
      <c r="D35" s="636"/>
      <c r="E35" s="620"/>
      <c r="F35" s="11" t="s">
        <v>492</v>
      </c>
      <c r="G35" s="570"/>
      <c r="H35" s="570"/>
      <c r="I35" s="678"/>
      <c r="J35" s="235">
        <v>38</v>
      </c>
      <c r="K35" s="570"/>
      <c r="L35" s="235" t="s">
        <v>52</v>
      </c>
      <c r="M35" s="616"/>
      <c r="N35" s="74" t="s">
        <v>52</v>
      </c>
      <c r="O35" s="616"/>
      <c r="P35" s="246" t="s">
        <v>52</v>
      </c>
      <c r="Q35" s="55" t="s">
        <v>52</v>
      </c>
      <c r="R35" s="11" t="s">
        <v>622</v>
      </c>
      <c r="S35" s="570"/>
      <c r="T35" s="11" t="s">
        <v>52</v>
      </c>
      <c r="U35" s="11" t="s">
        <v>52</v>
      </c>
      <c r="V35" s="11" t="s">
        <v>52</v>
      </c>
      <c r="W35" s="235" t="s">
        <v>52</v>
      </c>
      <c r="X35" s="618"/>
      <c r="Y35" s="235"/>
      <c r="Z35" s="11" t="s">
        <v>52</v>
      </c>
      <c r="AA35" s="11" t="s">
        <v>52</v>
      </c>
      <c r="AB35" s="11" t="s">
        <v>52</v>
      </c>
      <c r="AC35" s="43">
        <v>38</v>
      </c>
      <c r="AD35" s="43">
        <v>5.2</v>
      </c>
      <c r="AE35" s="43" t="s">
        <v>957</v>
      </c>
      <c r="AF35" s="19" t="s">
        <v>52</v>
      </c>
      <c r="AG35" s="19" t="s">
        <v>52</v>
      </c>
      <c r="AH35" s="19" t="s">
        <v>52</v>
      </c>
      <c r="AI35" s="611"/>
      <c r="AJ35" s="16">
        <v>38</v>
      </c>
      <c r="AK35" s="16" t="s">
        <v>961</v>
      </c>
      <c r="AL35" s="16" t="s">
        <v>962</v>
      </c>
      <c r="AM35" s="250"/>
      <c r="AN35" s="675"/>
      <c r="AO35" s="11" t="s">
        <v>52</v>
      </c>
      <c r="AP35" s="11" t="s">
        <v>52</v>
      </c>
      <c r="AQ35" s="11" t="s">
        <v>52</v>
      </c>
      <c r="AR35" s="11" t="s">
        <v>52</v>
      </c>
      <c r="AS35" s="570"/>
      <c r="AT35" s="55" t="s">
        <v>52</v>
      </c>
      <c r="AU35" s="55" t="s">
        <v>52</v>
      </c>
      <c r="AV35" s="622"/>
      <c r="AW35" s="11" t="s">
        <v>52</v>
      </c>
      <c r="AX35" s="11" t="s">
        <v>52</v>
      </c>
      <c r="AY35" s="11" t="s">
        <v>52</v>
      </c>
      <c r="AZ35" s="11" t="s">
        <v>52</v>
      </c>
      <c r="BA35" s="11" t="s">
        <v>52</v>
      </c>
      <c r="BB35" s="11" t="s">
        <v>52</v>
      </c>
      <c r="BC35" s="11" t="s">
        <v>52</v>
      </c>
      <c r="BD35" s="11" t="s">
        <v>52</v>
      </c>
      <c r="BE35" s="11" t="s">
        <v>52</v>
      </c>
      <c r="BF35" s="11" t="s">
        <v>52</v>
      </c>
      <c r="BG35" s="11" t="s">
        <v>52</v>
      </c>
      <c r="BH35" s="11" t="s">
        <v>52</v>
      </c>
      <c r="BI35" s="11" t="s">
        <v>52</v>
      </c>
      <c r="BJ35" s="11" t="s">
        <v>52</v>
      </c>
      <c r="BK35" s="11" t="s">
        <v>52</v>
      </c>
      <c r="BL35" s="11" t="s">
        <v>52</v>
      </c>
      <c r="BM35" s="11" t="s">
        <v>52</v>
      </c>
      <c r="BN35" s="11" t="s">
        <v>52</v>
      </c>
      <c r="BO35" s="11" t="s">
        <v>52</v>
      </c>
      <c r="BP35" s="570"/>
      <c r="BQ35" s="570"/>
      <c r="BR35" s="691"/>
      <c r="BS35" s="691"/>
      <c r="BT35" s="53"/>
    </row>
    <row r="36" spans="1:72" s="8" customFormat="1" ht="15" customHeight="1">
      <c r="A36" s="637" t="s">
        <v>1891</v>
      </c>
      <c r="B36" s="569" t="s">
        <v>507</v>
      </c>
      <c r="C36" s="631" t="s">
        <v>508</v>
      </c>
      <c r="D36" s="639" t="s">
        <v>965</v>
      </c>
      <c r="E36" s="569" t="s">
        <v>913</v>
      </c>
      <c r="F36" s="11" t="s">
        <v>482</v>
      </c>
      <c r="G36" s="569" t="s">
        <v>657</v>
      </c>
      <c r="H36" s="569" t="s">
        <v>929</v>
      </c>
      <c r="I36" s="677" t="s">
        <v>930</v>
      </c>
      <c r="J36" s="235">
        <v>55</v>
      </c>
      <c r="K36" s="569">
        <v>96</v>
      </c>
      <c r="L36" s="235" t="s">
        <v>52</v>
      </c>
      <c r="M36" s="615" t="s">
        <v>52</v>
      </c>
      <c r="N36" s="74" t="s">
        <v>52</v>
      </c>
      <c r="O36" s="615" t="s">
        <v>52</v>
      </c>
      <c r="P36" s="246" t="s">
        <v>52</v>
      </c>
      <c r="Q36" s="55" t="s">
        <v>52</v>
      </c>
      <c r="R36" s="11" t="s">
        <v>622</v>
      </c>
      <c r="S36" s="569" t="s">
        <v>52</v>
      </c>
      <c r="T36" s="11" t="s">
        <v>52</v>
      </c>
      <c r="U36" s="11" t="s">
        <v>52</v>
      </c>
      <c r="V36" s="11" t="s">
        <v>52</v>
      </c>
      <c r="W36" s="235" t="s">
        <v>52</v>
      </c>
      <c r="X36" s="617" t="s">
        <v>52</v>
      </c>
      <c r="Y36" s="235"/>
      <c r="Z36" s="11" t="s">
        <v>52</v>
      </c>
      <c r="AA36" s="11" t="s">
        <v>52</v>
      </c>
      <c r="AB36" s="11" t="s">
        <v>52</v>
      </c>
      <c r="AC36" s="43">
        <v>55</v>
      </c>
      <c r="AD36" s="43">
        <v>8.8000000000000007</v>
      </c>
      <c r="AE36" s="43" t="s">
        <v>969</v>
      </c>
      <c r="AF36" s="16">
        <v>0.78</v>
      </c>
      <c r="AG36" s="16" t="s">
        <v>970</v>
      </c>
      <c r="AH36" s="16" t="s">
        <v>52</v>
      </c>
      <c r="AI36" s="598" t="s">
        <v>971</v>
      </c>
      <c r="AJ36" s="16">
        <v>55</v>
      </c>
      <c r="AK36" s="16" t="s">
        <v>976</v>
      </c>
      <c r="AL36" s="16" t="s">
        <v>977</v>
      </c>
      <c r="AM36" s="249"/>
      <c r="AN36" s="607" t="s">
        <v>979</v>
      </c>
      <c r="AO36" s="11" t="s">
        <v>52</v>
      </c>
      <c r="AP36" s="11" t="s">
        <v>52</v>
      </c>
      <c r="AQ36" s="11" t="s">
        <v>52</v>
      </c>
      <c r="AR36" s="11" t="s">
        <v>52</v>
      </c>
      <c r="AS36" s="569" t="s">
        <v>52</v>
      </c>
      <c r="AT36" s="55" t="s">
        <v>52</v>
      </c>
      <c r="AU36" s="55" t="s">
        <v>52</v>
      </c>
      <c r="AV36" s="621" t="s">
        <v>52</v>
      </c>
      <c r="AW36" s="11" t="s">
        <v>52</v>
      </c>
      <c r="AX36" s="11" t="s">
        <v>52</v>
      </c>
      <c r="AY36" s="11" t="s">
        <v>52</v>
      </c>
      <c r="AZ36" s="11" t="s">
        <v>52</v>
      </c>
      <c r="BA36" s="11" t="s">
        <v>52</v>
      </c>
      <c r="BB36" s="11" t="s">
        <v>52</v>
      </c>
      <c r="BC36" s="11" t="s">
        <v>52</v>
      </c>
      <c r="BD36" s="11" t="s">
        <v>52</v>
      </c>
      <c r="BE36" s="11" t="s">
        <v>52</v>
      </c>
      <c r="BF36" s="11" t="s">
        <v>52</v>
      </c>
      <c r="BG36" s="11" t="s">
        <v>52</v>
      </c>
      <c r="BH36" s="11" t="s">
        <v>52</v>
      </c>
      <c r="BI36" s="11" t="s">
        <v>52</v>
      </c>
      <c r="BJ36" s="11" t="s">
        <v>52</v>
      </c>
      <c r="BK36" s="11" t="s">
        <v>52</v>
      </c>
      <c r="BL36" s="11" t="s">
        <v>52</v>
      </c>
      <c r="BM36" s="11" t="s">
        <v>52</v>
      </c>
      <c r="BN36" s="11" t="s">
        <v>52</v>
      </c>
      <c r="BO36" s="11" t="s">
        <v>52</v>
      </c>
      <c r="BP36" s="569" t="s">
        <v>52</v>
      </c>
      <c r="BQ36" s="569" t="s">
        <v>52</v>
      </c>
      <c r="BR36" s="690"/>
      <c r="BS36" s="690"/>
      <c r="BT36" s="53"/>
    </row>
    <row r="37" spans="1:72" s="8" customFormat="1" ht="15" customHeight="1">
      <c r="A37" s="638"/>
      <c r="B37" s="636"/>
      <c r="C37" s="632"/>
      <c r="D37" s="636"/>
      <c r="E37" s="620"/>
      <c r="F37" s="11" t="s">
        <v>492</v>
      </c>
      <c r="G37" s="570"/>
      <c r="H37" s="570"/>
      <c r="I37" s="678"/>
      <c r="J37" s="235">
        <v>41</v>
      </c>
      <c r="K37" s="570"/>
      <c r="L37" s="235" t="s">
        <v>52</v>
      </c>
      <c r="M37" s="616"/>
      <c r="N37" s="74" t="s">
        <v>52</v>
      </c>
      <c r="O37" s="616"/>
      <c r="P37" s="246" t="s">
        <v>52</v>
      </c>
      <c r="Q37" s="55" t="s">
        <v>52</v>
      </c>
      <c r="R37" s="11" t="s">
        <v>622</v>
      </c>
      <c r="S37" s="570"/>
      <c r="T37" s="11" t="s">
        <v>52</v>
      </c>
      <c r="U37" s="11" t="s">
        <v>52</v>
      </c>
      <c r="V37" s="11" t="s">
        <v>52</v>
      </c>
      <c r="W37" s="235" t="s">
        <v>52</v>
      </c>
      <c r="X37" s="618"/>
      <c r="Y37" s="235"/>
      <c r="Z37" s="11" t="s">
        <v>52</v>
      </c>
      <c r="AA37" s="11" t="s">
        <v>52</v>
      </c>
      <c r="AB37" s="11" t="s">
        <v>52</v>
      </c>
      <c r="AC37" s="43">
        <v>41</v>
      </c>
      <c r="AD37" s="73">
        <v>4</v>
      </c>
      <c r="AE37" s="43" t="s">
        <v>980</v>
      </c>
      <c r="AF37" s="19" t="s">
        <v>52</v>
      </c>
      <c r="AG37" s="19" t="s">
        <v>52</v>
      </c>
      <c r="AH37" s="19" t="s">
        <v>52</v>
      </c>
      <c r="AI37" s="611"/>
      <c r="AJ37" s="16">
        <v>41</v>
      </c>
      <c r="AK37" s="16" t="s">
        <v>985</v>
      </c>
      <c r="AL37" s="16" t="s">
        <v>986</v>
      </c>
      <c r="AM37" s="250"/>
      <c r="AN37" s="675"/>
      <c r="AO37" s="11" t="s">
        <v>52</v>
      </c>
      <c r="AP37" s="11" t="s">
        <v>52</v>
      </c>
      <c r="AQ37" s="11" t="s">
        <v>52</v>
      </c>
      <c r="AR37" s="11" t="s">
        <v>52</v>
      </c>
      <c r="AS37" s="570"/>
      <c r="AT37" s="55" t="s">
        <v>52</v>
      </c>
      <c r="AU37" s="55" t="s">
        <v>52</v>
      </c>
      <c r="AV37" s="622"/>
      <c r="AW37" s="11" t="s">
        <v>52</v>
      </c>
      <c r="AX37" s="11" t="s">
        <v>52</v>
      </c>
      <c r="AY37" s="11" t="s">
        <v>52</v>
      </c>
      <c r="AZ37" s="11" t="s">
        <v>52</v>
      </c>
      <c r="BA37" s="11" t="s">
        <v>52</v>
      </c>
      <c r="BB37" s="11" t="s">
        <v>52</v>
      </c>
      <c r="BC37" s="11" t="s">
        <v>52</v>
      </c>
      <c r="BD37" s="11" t="s">
        <v>52</v>
      </c>
      <c r="BE37" s="11" t="s">
        <v>52</v>
      </c>
      <c r="BF37" s="11" t="s">
        <v>52</v>
      </c>
      <c r="BG37" s="11" t="s">
        <v>52</v>
      </c>
      <c r="BH37" s="11" t="s">
        <v>52</v>
      </c>
      <c r="BI37" s="11" t="s">
        <v>52</v>
      </c>
      <c r="BJ37" s="11" t="s">
        <v>52</v>
      </c>
      <c r="BK37" s="11" t="s">
        <v>52</v>
      </c>
      <c r="BL37" s="11" t="s">
        <v>52</v>
      </c>
      <c r="BM37" s="11" t="s">
        <v>52</v>
      </c>
      <c r="BN37" s="11" t="s">
        <v>52</v>
      </c>
      <c r="BO37" s="11" t="s">
        <v>52</v>
      </c>
      <c r="BP37" s="570"/>
      <c r="BQ37" s="570"/>
      <c r="BR37" s="691"/>
      <c r="BS37" s="691"/>
      <c r="BT37" s="53"/>
    </row>
    <row r="38" spans="1:72" s="8" customFormat="1" ht="15" customHeight="1">
      <c r="A38" s="637" t="s">
        <v>1891</v>
      </c>
      <c r="B38" s="569" t="s">
        <v>507</v>
      </c>
      <c r="C38" s="631" t="s">
        <v>508</v>
      </c>
      <c r="D38" s="639" t="s">
        <v>912</v>
      </c>
      <c r="E38" s="639" t="s">
        <v>993</v>
      </c>
      <c r="F38" s="11" t="s">
        <v>482</v>
      </c>
      <c r="G38" s="588" t="s">
        <v>994</v>
      </c>
      <c r="H38" s="569" t="s">
        <v>834</v>
      </c>
      <c r="I38" s="677" t="s">
        <v>995</v>
      </c>
      <c r="J38" s="235">
        <v>63</v>
      </c>
      <c r="K38" s="569">
        <v>124</v>
      </c>
      <c r="L38" s="235" t="s">
        <v>52</v>
      </c>
      <c r="M38" s="615" t="s">
        <v>52</v>
      </c>
      <c r="N38" s="74" t="s">
        <v>52</v>
      </c>
      <c r="O38" s="615" t="s">
        <v>52</v>
      </c>
      <c r="P38" s="246" t="s">
        <v>52</v>
      </c>
      <c r="Q38" s="55" t="s">
        <v>52</v>
      </c>
      <c r="R38" s="11" t="s">
        <v>622</v>
      </c>
      <c r="S38" s="569" t="s">
        <v>52</v>
      </c>
      <c r="T38" s="11" t="s">
        <v>52</v>
      </c>
      <c r="U38" s="11" t="s">
        <v>52</v>
      </c>
      <c r="V38" s="11" t="s">
        <v>52</v>
      </c>
      <c r="W38" s="235" t="s">
        <v>52</v>
      </c>
      <c r="X38" s="617" t="s">
        <v>52</v>
      </c>
      <c r="Y38" s="235"/>
      <c r="Z38" s="55">
        <v>1</v>
      </c>
      <c r="AA38" s="11" t="s">
        <v>608</v>
      </c>
      <c r="AB38" s="11" t="s">
        <v>52</v>
      </c>
      <c r="AC38" s="43">
        <v>63</v>
      </c>
      <c r="AD38" s="43">
        <v>16.399999999999999</v>
      </c>
      <c r="AE38" s="43" t="s">
        <v>1000</v>
      </c>
      <c r="AF38" s="43">
        <v>0.73</v>
      </c>
      <c r="AG38" s="43" t="s">
        <v>1001</v>
      </c>
      <c r="AH38" s="16" t="s">
        <v>52</v>
      </c>
      <c r="AI38" s="598" t="s">
        <v>1003</v>
      </c>
      <c r="AJ38" s="16">
        <v>63</v>
      </c>
      <c r="AK38" s="16" t="s">
        <v>1006</v>
      </c>
      <c r="AL38" s="16" t="s">
        <v>1007</v>
      </c>
      <c r="AM38" s="249"/>
      <c r="AN38" s="607" t="s">
        <v>1008</v>
      </c>
      <c r="AO38" s="11" t="s">
        <v>52</v>
      </c>
      <c r="AP38" s="11" t="s">
        <v>52</v>
      </c>
      <c r="AQ38" s="11" t="s">
        <v>52</v>
      </c>
      <c r="AR38" s="11" t="s">
        <v>52</v>
      </c>
      <c r="AS38" s="569" t="s">
        <v>52</v>
      </c>
      <c r="AT38" s="55" t="s">
        <v>52</v>
      </c>
      <c r="AU38" s="55" t="s">
        <v>52</v>
      </c>
      <c r="AV38" s="621" t="s">
        <v>52</v>
      </c>
      <c r="AW38" s="11" t="s">
        <v>52</v>
      </c>
      <c r="AX38" s="11" t="s">
        <v>52</v>
      </c>
      <c r="AY38" s="11" t="s">
        <v>52</v>
      </c>
      <c r="AZ38" s="11" t="s">
        <v>52</v>
      </c>
      <c r="BA38" s="11" t="s">
        <v>52</v>
      </c>
      <c r="BB38" s="11" t="s">
        <v>52</v>
      </c>
      <c r="BC38" s="11" t="s">
        <v>52</v>
      </c>
      <c r="BD38" s="11" t="s">
        <v>52</v>
      </c>
      <c r="BE38" s="11" t="s">
        <v>52</v>
      </c>
      <c r="BF38" s="11" t="s">
        <v>52</v>
      </c>
      <c r="BG38" s="11" t="s">
        <v>52</v>
      </c>
      <c r="BH38" s="11" t="s">
        <v>52</v>
      </c>
      <c r="BI38" s="11" t="s">
        <v>52</v>
      </c>
      <c r="BJ38" s="11" t="s">
        <v>52</v>
      </c>
      <c r="BK38" s="11" t="s">
        <v>52</v>
      </c>
      <c r="BL38" s="11" t="s">
        <v>52</v>
      </c>
      <c r="BM38" s="11" t="s">
        <v>52</v>
      </c>
      <c r="BN38" s="11" t="s">
        <v>52</v>
      </c>
      <c r="BO38" s="11" t="s">
        <v>52</v>
      </c>
      <c r="BP38" s="569" t="s">
        <v>52</v>
      </c>
      <c r="BQ38" s="569" t="s">
        <v>52</v>
      </c>
      <c r="BR38" s="690"/>
      <c r="BS38" s="690"/>
      <c r="BT38" s="53"/>
    </row>
    <row r="39" spans="1:72" s="8" customFormat="1" ht="15" customHeight="1">
      <c r="A39" s="638"/>
      <c r="B39" s="636"/>
      <c r="C39" s="632"/>
      <c r="D39" s="636"/>
      <c r="E39" s="636"/>
      <c r="F39" s="11" t="s">
        <v>704</v>
      </c>
      <c r="G39" s="588"/>
      <c r="H39" s="620"/>
      <c r="I39" s="678"/>
      <c r="J39" s="235">
        <v>61</v>
      </c>
      <c r="K39" s="570"/>
      <c r="L39" s="235" t="s">
        <v>52</v>
      </c>
      <c r="M39" s="616"/>
      <c r="N39" s="74" t="s">
        <v>52</v>
      </c>
      <c r="O39" s="616"/>
      <c r="P39" s="246" t="s">
        <v>52</v>
      </c>
      <c r="Q39" s="55" t="s">
        <v>52</v>
      </c>
      <c r="R39" s="11" t="s">
        <v>622</v>
      </c>
      <c r="S39" s="570"/>
      <c r="T39" s="11" t="s">
        <v>52</v>
      </c>
      <c r="U39" s="11" t="s">
        <v>52</v>
      </c>
      <c r="V39" s="11" t="s">
        <v>52</v>
      </c>
      <c r="W39" s="235" t="s">
        <v>52</v>
      </c>
      <c r="X39" s="618"/>
      <c r="Y39" s="235"/>
      <c r="Z39" s="55">
        <v>1</v>
      </c>
      <c r="AA39" s="11" t="s">
        <v>608</v>
      </c>
      <c r="AB39" s="11" t="s">
        <v>52</v>
      </c>
      <c r="AC39" s="43">
        <v>61</v>
      </c>
      <c r="AD39" s="43">
        <v>8.9</v>
      </c>
      <c r="AE39" s="43" t="s">
        <v>1009</v>
      </c>
      <c r="AF39" s="19" t="s">
        <v>52</v>
      </c>
      <c r="AG39" s="19" t="s">
        <v>52</v>
      </c>
      <c r="AH39" s="19" t="s">
        <v>52</v>
      </c>
      <c r="AI39" s="611"/>
      <c r="AJ39" s="16">
        <v>61</v>
      </c>
      <c r="AK39" s="16" t="s">
        <v>1011</v>
      </c>
      <c r="AL39" s="16" t="s">
        <v>1012</v>
      </c>
      <c r="AM39" s="250"/>
      <c r="AN39" s="675"/>
      <c r="AO39" s="11" t="s">
        <v>52</v>
      </c>
      <c r="AP39" s="11" t="s">
        <v>52</v>
      </c>
      <c r="AQ39" s="11" t="s">
        <v>52</v>
      </c>
      <c r="AR39" s="11" t="s">
        <v>52</v>
      </c>
      <c r="AS39" s="570"/>
      <c r="AT39" s="55" t="s">
        <v>52</v>
      </c>
      <c r="AU39" s="55" t="s">
        <v>52</v>
      </c>
      <c r="AV39" s="622"/>
      <c r="AW39" s="11" t="s">
        <v>52</v>
      </c>
      <c r="AX39" s="11" t="s">
        <v>52</v>
      </c>
      <c r="AY39" s="11" t="s">
        <v>52</v>
      </c>
      <c r="AZ39" s="11" t="s">
        <v>52</v>
      </c>
      <c r="BA39" s="11" t="s">
        <v>52</v>
      </c>
      <c r="BB39" s="11" t="s">
        <v>52</v>
      </c>
      <c r="BC39" s="11" t="s">
        <v>52</v>
      </c>
      <c r="BD39" s="11" t="s">
        <v>52</v>
      </c>
      <c r="BE39" s="11" t="s">
        <v>52</v>
      </c>
      <c r="BF39" s="11" t="s">
        <v>52</v>
      </c>
      <c r="BG39" s="11" t="s">
        <v>52</v>
      </c>
      <c r="BH39" s="11" t="s">
        <v>52</v>
      </c>
      <c r="BI39" s="11" t="s">
        <v>52</v>
      </c>
      <c r="BJ39" s="11" t="s">
        <v>52</v>
      </c>
      <c r="BK39" s="11" t="s">
        <v>52</v>
      </c>
      <c r="BL39" s="11" t="s">
        <v>52</v>
      </c>
      <c r="BM39" s="11" t="s">
        <v>52</v>
      </c>
      <c r="BN39" s="11" t="s">
        <v>52</v>
      </c>
      <c r="BO39" s="11" t="s">
        <v>52</v>
      </c>
      <c r="BP39" s="570"/>
      <c r="BQ39" s="570"/>
      <c r="BR39" s="691"/>
      <c r="BS39" s="691"/>
      <c r="BT39" s="53"/>
    </row>
    <row r="40" spans="1:72" s="8" customFormat="1" ht="15" customHeight="1">
      <c r="A40" s="637" t="s">
        <v>1891</v>
      </c>
      <c r="B40" s="569" t="s">
        <v>507</v>
      </c>
      <c r="C40" s="631" t="s">
        <v>508</v>
      </c>
      <c r="D40" s="639" t="s">
        <v>912</v>
      </c>
      <c r="E40" s="639" t="s">
        <v>1017</v>
      </c>
      <c r="F40" s="11" t="s">
        <v>482</v>
      </c>
      <c r="G40" s="588" t="s">
        <v>1019</v>
      </c>
      <c r="H40" s="569" t="s">
        <v>834</v>
      </c>
      <c r="I40" s="677" t="s">
        <v>1020</v>
      </c>
      <c r="J40" s="235">
        <v>66</v>
      </c>
      <c r="K40" s="569">
        <v>138</v>
      </c>
      <c r="L40" s="235" t="s">
        <v>52</v>
      </c>
      <c r="M40" s="615" t="s">
        <v>52</v>
      </c>
      <c r="N40" s="74" t="s">
        <v>52</v>
      </c>
      <c r="O40" s="615" t="s">
        <v>52</v>
      </c>
      <c r="P40" s="246" t="s">
        <v>52</v>
      </c>
      <c r="Q40" s="55" t="s">
        <v>52</v>
      </c>
      <c r="R40" s="11" t="s">
        <v>622</v>
      </c>
      <c r="S40" s="569" t="s">
        <v>52</v>
      </c>
      <c r="T40" s="11" t="s">
        <v>52</v>
      </c>
      <c r="U40" s="11" t="s">
        <v>52</v>
      </c>
      <c r="V40" s="11" t="s">
        <v>52</v>
      </c>
      <c r="W40" s="235" t="s">
        <v>52</v>
      </c>
      <c r="X40" s="617" t="s">
        <v>52</v>
      </c>
      <c r="Y40" s="235"/>
      <c r="Z40" s="11" t="s">
        <v>608</v>
      </c>
      <c r="AA40" s="55">
        <v>1</v>
      </c>
      <c r="AB40" s="11" t="s">
        <v>52</v>
      </c>
      <c r="AC40" s="43">
        <v>66</v>
      </c>
      <c r="AD40" s="43">
        <v>5</v>
      </c>
      <c r="AE40" s="43" t="s">
        <v>1022</v>
      </c>
      <c r="AF40" s="16">
        <v>0.79</v>
      </c>
      <c r="AG40" s="16" t="s">
        <v>1023</v>
      </c>
      <c r="AH40" s="16" t="s">
        <v>52</v>
      </c>
      <c r="AI40" s="598" t="s">
        <v>1026</v>
      </c>
      <c r="AJ40" s="16">
        <v>66</v>
      </c>
      <c r="AK40" s="16" t="s">
        <v>1031</v>
      </c>
      <c r="AL40" s="16" t="s">
        <v>1032</v>
      </c>
      <c r="AM40" s="249"/>
      <c r="AN40" s="607" t="s">
        <v>1033</v>
      </c>
      <c r="AO40" s="11" t="s">
        <v>52</v>
      </c>
      <c r="AP40" s="11" t="s">
        <v>52</v>
      </c>
      <c r="AQ40" s="11" t="s">
        <v>52</v>
      </c>
      <c r="AR40" s="11" t="s">
        <v>52</v>
      </c>
      <c r="AS40" s="569" t="s">
        <v>52</v>
      </c>
      <c r="AT40" s="55" t="s">
        <v>52</v>
      </c>
      <c r="AU40" s="55" t="s">
        <v>52</v>
      </c>
      <c r="AV40" s="621" t="s">
        <v>52</v>
      </c>
      <c r="AW40" s="11" t="s">
        <v>52</v>
      </c>
      <c r="AX40" s="11" t="s">
        <v>52</v>
      </c>
      <c r="AY40" s="11" t="s">
        <v>52</v>
      </c>
      <c r="AZ40" s="11" t="s">
        <v>52</v>
      </c>
      <c r="BA40" s="11" t="s">
        <v>52</v>
      </c>
      <c r="BB40" s="11" t="s">
        <v>52</v>
      </c>
      <c r="BC40" s="11" t="s">
        <v>52</v>
      </c>
      <c r="BD40" s="11" t="s">
        <v>52</v>
      </c>
      <c r="BE40" s="11" t="s">
        <v>52</v>
      </c>
      <c r="BF40" s="11" t="s">
        <v>52</v>
      </c>
      <c r="BG40" s="11" t="s">
        <v>52</v>
      </c>
      <c r="BH40" s="11" t="s">
        <v>52</v>
      </c>
      <c r="BI40" s="11" t="s">
        <v>52</v>
      </c>
      <c r="BJ40" s="11" t="s">
        <v>52</v>
      </c>
      <c r="BK40" s="11" t="s">
        <v>52</v>
      </c>
      <c r="BL40" s="11" t="s">
        <v>52</v>
      </c>
      <c r="BM40" s="11" t="s">
        <v>52</v>
      </c>
      <c r="BN40" s="11" t="s">
        <v>52</v>
      </c>
      <c r="BO40" s="11" t="s">
        <v>52</v>
      </c>
      <c r="BP40" s="569" t="s">
        <v>52</v>
      </c>
      <c r="BQ40" s="569" t="s">
        <v>52</v>
      </c>
      <c r="BR40" s="690"/>
      <c r="BS40" s="690"/>
      <c r="BT40" s="53"/>
    </row>
    <row r="41" spans="1:72" s="8" customFormat="1" ht="15" customHeight="1">
      <c r="A41" s="638"/>
      <c r="B41" s="636"/>
      <c r="C41" s="632"/>
      <c r="D41" s="636"/>
      <c r="E41" s="636"/>
      <c r="F41" s="11" t="s">
        <v>704</v>
      </c>
      <c r="G41" s="588"/>
      <c r="H41" s="620"/>
      <c r="I41" s="678"/>
      <c r="J41" s="235">
        <v>72</v>
      </c>
      <c r="K41" s="570"/>
      <c r="L41" s="235" t="s">
        <v>52</v>
      </c>
      <c r="M41" s="616"/>
      <c r="N41" s="74" t="s">
        <v>52</v>
      </c>
      <c r="O41" s="616"/>
      <c r="P41" s="246" t="s">
        <v>52</v>
      </c>
      <c r="Q41" s="55" t="s">
        <v>52</v>
      </c>
      <c r="R41" s="11" t="s">
        <v>622</v>
      </c>
      <c r="S41" s="570"/>
      <c r="T41" s="11" t="s">
        <v>52</v>
      </c>
      <c r="U41" s="11" t="s">
        <v>52</v>
      </c>
      <c r="V41" s="11" t="s">
        <v>52</v>
      </c>
      <c r="W41" s="235" t="s">
        <v>52</v>
      </c>
      <c r="X41" s="618"/>
      <c r="Y41" s="235"/>
      <c r="Z41" s="11" t="s">
        <v>608</v>
      </c>
      <c r="AA41" s="55">
        <v>1</v>
      </c>
      <c r="AB41" s="11" t="s">
        <v>52</v>
      </c>
      <c r="AC41" s="43">
        <v>72</v>
      </c>
      <c r="AD41" s="43">
        <v>3.2</v>
      </c>
      <c r="AE41" s="43" t="s">
        <v>1038</v>
      </c>
      <c r="AF41" s="19" t="s">
        <v>52</v>
      </c>
      <c r="AG41" s="19" t="s">
        <v>52</v>
      </c>
      <c r="AH41" s="19" t="s">
        <v>52</v>
      </c>
      <c r="AI41" s="611"/>
      <c r="AJ41" s="16">
        <v>72</v>
      </c>
      <c r="AK41" s="16" t="s">
        <v>1039</v>
      </c>
      <c r="AL41" s="16" t="s">
        <v>1040</v>
      </c>
      <c r="AM41" s="250"/>
      <c r="AN41" s="675"/>
      <c r="AO41" s="11" t="s">
        <v>52</v>
      </c>
      <c r="AP41" s="11" t="s">
        <v>52</v>
      </c>
      <c r="AQ41" s="11" t="s">
        <v>52</v>
      </c>
      <c r="AR41" s="11" t="s">
        <v>52</v>
      </c>
      <c r="AS41" s="570"/>
      <c r="AT41" s="55" t="s">
        <v>52</v>
      </c>
      <c r="AU41" s="55" t="s">
        <v>52</v>
      </c>
      <c r="AV41" s="622"/>
      <c r="AW41" s="11" t="s">
        <v>52</v>
      </c>
      <c r="AX41" s="11" t="s">
        <v>52</v>
      </c>
      <c r="AY41" s="11" t="s">
        <v>52</v>
      </c>
      <c r="AZ41" s="11" t="s">
        <v>52</v>
      </c>
      <c r="BA41" s="11" t="s">
        <v>52</v>
      </c>
      <c r="BB41" s="11" t="s">
        <v>52</v>
      </c>
      <c r="BC41" s="11" t="s">
        <v>52</v>
      </c>
      <c r="BD41" s="11" t="s">
        <v>52</v>
      </c>
      <c r="BE41" s="11" t="s">
        <v>52</v>
      </c>
      <c r="BF41" s="11" t="s">
        <v>52</v>
      </c>
      <c r="BG41" s="11" t="s">
        <v>52</v>
      </c>
      <c r="BH41" s="11" t="s">
        <v>52</v>
      </c>
      <c r="BI41" s="11" t="s">
        <v>52</v>
      </c>
      <c r="BJ41" s="11" t="s">
        <v>52</v>
      </c>
      <c r="BK41" s="11" t="s">
        <v>52</v>
      </c>
      <c r="BL41" s="11" t="s">
        <v>52</v>
      </c>
      <c r="BM41" s="11" t="s">
        <v>52</v>
      </c>
      <c r="BN41" s="11" t="s">
        <v>52</v>
      </c>
      <c r="BO41" s="11" t="s">
        <v>52</v>
      </c>
      <c r="BP41" s="570"/>
      <c r="BQ41" s="570"/>
      <c r="BR41" s="691"/>
      <c r="BS41" s="691"/>
      <c r="BT41" s="53"/>
    </row>
    <row r="42" spans="1:72" s="8" customFormat="1" ht="15" customHeight="1">
      <c r="A42" s="637" t="s">
        <v>1891</v>
      </c>
      <c r="B42" s="569" t="s">
        <v>507</v>
      </c>
      <c r="C42" s="631" t="s">
        <v>508</v>
      </c>
      <c r="D42" s="639" t="s">
        <v>912</v>
      </c>
      <c r="E42" s="639" t="s">
        <v>993</v>
      </c>
      <c r="F42" s="11" t="s">
        <v>482</v>
      </c>
      <c r="G42" s="588" t="s">
        <v>1048</v>
      </c>
      <c r="H42" s="569" t="s">
        <v>834</v>
      </c>
      <c r="I42" s="677" t="s">
        <v>995</v>
      </c>
      <c r="J42" s="235">
        <v>47</v>
      </c>
      <c r="K42" s="569">
        <v>80</v>
      </c>
      <c r="L42" s="235" t="s">
        <v>52</v>
      </c>
      <c r="M42" s="615" t="s">
        <v>52</v>
      </c>
      <c r="N42" s="74" t="s">
        <v>52</v>
      </c>
      <c r="O42" s="615" t="s">
        <v>52</v>
      </c>
      <c r="P42" s="246" t="s">
        <v>52</v>
      </c>
      <c r="Q42" s="55" t="s">
        <v>52</v>
      </c>
      <c r="R42" s="11" t="s">
        <v>622</v>
      </c>
      <c r="S42" s="569" t="s">
        <v>52</v>
      </c>
      <c r="T42" s="11" t="s">
        <v>52</v>
      </c>
      <c r="U42" s="11" t="s">
        <v>52</v>
      </c>
      <c r="V42" s="11" t="s">
        <v>52</v>
      </c>
      <c r="W42" s="235" t="s">
        <v>52</v>
      </c>
      <c r="X42" s="617" t="e">
        <f>W42+W43</f>
        <v>#VALUE!</v>
      </c>
      <c r="Y42" s="235"/>
      <c r="Z42" s="55">
        <v>1</v>
      </c>
      <c r="AA42" s="11" t="s">
        <v>608</v>
      </c>
      <c r="AB42" s="11" t="s">
        <v>52</v>
      </c>
      <c r="AC42" s="43">
        <v>47</v>
      </c>
      <c r="AD42" s="43">
        <v>14.1</v>
      </c>
      <c r="AE42" s="43" t="s">
        <v>1050</v>
      </c>
      <c r="AF42" s="43">
        <v>0.9</v>
      </c>
      <c r="AG42" s="43" t="s">
        <v>1051</v>
      </c>
      <c r="AH42" s="16" t="s">
        <v>52</v>
      </c>
      <c r="AI42" s="598" t="s">
        <v>1052</v>
      </c>
      <c r="AJ42" s="16">
        <v>47</v>
      </c>
      <c r="AK42" s="16" t="s">
        <v>1054</v>
      </c>
      <c r="AL42" s="16" t="s">
        <v>1056</v>
      </c>
      <c r="AM42" s="249"/>
      <c r="AN42" s="607" t="s">
        <v>1057</v>
      </c>
      <c r="AO42" s="11" t="s">
        <v>52</v>
      </c>
      <c r="AP42" s="11" t="s">
        <v>52</v>
      </c>
      <c r="AQ42" s="11" t="s">
        <v>52</v>
      </c>
      <c r="AR42" s="11" t="s">
        <v>52</v>
      </c>
      <c r="AS42" s="569" t="s">
        <v>52</v>
      </c>
      <c r="AT42" s="55" t="s">
        <v>52</v>
      </c>
      <c r="AU42" s="55" t="s">
        <v>52</v>
      </c>
      <c r="AV42" s="621" t="s">
        <v>52</v>
      </c>
      <c r="AW42" s="11" t="s">
        <v>52</v>
      </c>
      <c r="AX42" s="11" t="s">
        <v>52</v>
      </c>
      <c r="AY42" s="11" t="s">
        <v>52</v>
      </c>
      <c r="AZ42" s="11" t="s">
        <v>52</v>
      </c>
      <c r="BA42" s="11" t="s">
        <v>52</v>
      </c>
      <c r="BB42" s="11" t="s">
        <v>52</v>
      </c>
      <c r="BC42" s="11" t="s">
        <v>52</v>
      </c>
      <c r="BD42" s="11" t="s">
        <v>52</v>
      </c>
      <c r="BE42" s="11" t="s">
        <v>52</v>
      </c>
      <c r="BF42" s="11" t="s">
        <v>52</v>
      </c>
      <c r="BG42" s="11" t="s">
        <v>52</v>
      </c>
      <c r="BH42" s="11" t="s">
        <v>52</v>
      </c>
      <c r="BI42" s="11" t="s">
        <v>52</v>
      </c>
      <c r="BJ42" s="11" t="s">
        <v>52</v>
      </c>
      <c r="BK42" s="11" t="s">
        <v>52</v>
      </c>
      <c r="BL42" s="11" t="s">
        <v>52</v>
      </c>
      <c r="BM42" s="11" t="s">
        <v>52</v>
      </c>
      <c r="BN42" s="11" t="s">
        <v>52</v>
      </c>
      <c r="BO42" s="11" t="s">
        <v>52</v>
      </c>
      <c r="BP42" s="569" t="s">
        <v>52</v>
      </c>
      <c r="BQ42" s="569" t="s">
        <v>52</v>
      </c>
      <c r="BR42" s="690"/>
      <c r="BS42" s="690"/>
      <c r="BT42" s="53"/>
    </row>
    <row r="43" spans="1:72" s="8" customFormat="1" ht="15" customHeight="1">
      <c r="A43" s="638"/>
      <c r="B43" s="636"/>
      <c r="C43" s="632"/>
      <c r="D43" s="636"/>
      <c r="E43" s="636"/>
      <c r="F43" s="11" t="s">
        <v>489</v>
      </c>
      <c r="G43" s="588"/>
      <c r="H43" s="620"/>
      <c r="I43" s="678"/>
      <c r="J43" s="235">
        <v>33</v>
      </c>
      <c r="K43" s="570"/>
      <c r="L43" s="235" t="s">
        <v>52</v>
      </c>
      <c r="M43" s="616"/>
      <c r="N43" s="74" t="s">
        <v>52</v>
      </c>
      <c r="O43" s="616"/>
      <c r="P43" s="246" t="s">
        <v>52</v>
      </c>
      <c r="Q43" s="55" t="s">
        <v>52</v>
      </c>
      <c r="R43" s="11" t="s">
        <v>622</v>
      </c>
      <c r="S43" s="570"/>
      <c r="T43" s="11" t="s">
        <v>52</v>
      </c>
      <c r="U43" s="11" t="s">
        <v>52</v>
      </c>
      <c r="V43" s="11" t="s">
        <v>52</v>
      </c>
      <c r="W43" s="235" t="s">
        <v>52</v>
      </c>
      <c r="X43" s="618"/>
      <c r="Y43" s="235"/>
      <c r="Z43" s="55">
        <v>1</v>
      </c>
      <c r="AA43" s="11" t="s">
        <v>608</v>
      </c>
      <c r="AB43" s="11" t="s">
        <v>52</v>
      </c>
      <c r="AC43" s="43">
        <v>33</v>
      </c>
      <c r="AD43" s="43">
        <v>6.4</v>
      </c>
      <c r="AE43" s="43" t="s">
        <v>1065</v>
      </c>
      <c r="AF43" s="19" t="s">
        <v>52</v>
      </c>
      <c r="AG43" s="19" t="s">
        <v>52</v>
      </c>
      <c r="AH43" s="19" t="s">
        <v>52</v>
      </c>
      <c r="AI43" s="611"/>
      <c r="AJ43" s="16">
        <v>33</v>
      </c>
      <c r="AK43" s="16" t="s">
        <v>1066</v>
      </c>
      <c r="AL43" s="16" t="s">
        <v>1067</v>
      </c>
      <c r="AM43" s="250"/>
      <c r="AN43" s="675"/>
      <c r="AO43" s="11" t="s">
        <v>52</v>
      </c>
      <c r="AP43" s="11" t="s">
        <v>52</v>
      </c>
      <c r="AQ43" s="11" t="s">
        <v>52</v>
      </c>
      <c r="AR43" s="11" t="s">
        <v>52</v>
      </c>
      <c r="AS43" s="570"/>
      <c r="AT43" s="55" t="s">
        <v>52</v>
      </c>
      <c r="AU43" s="55" t="s">
        <v>52</v>
      </c>
      <c r="AV43" s="622"/>
      <c r="AW43" s="11" t="s">
        <v>52</v>
      </c>
      <c r="AX43" s="11" t="s">
        <v>52</v>
      </c>
      <c r="AY43" s="11" t="s">
        <v>52</v>
      </c>
      <c r="AZ43" s="11" t="s">
        <v>52</v>
      </c>
      <c r="BA43" s="11" t="s">
        <v>52</v>
      </c>
      <c r="BB43" s="11" t="s">
        <v>52</v>
      </c>
      <c r="BC43" s="11" t="s">
        <v>52</v>
      </c>
      <c r="BD43" s="11" t="s">
        <v>52</v>
      </c>
      <c r="BE43" s="11" t="s">
        <v>52</v>
      </c>
      <c r="BF43" s="11" t="s">
        <v>52</v>
      </c>
      <c r="BG43" s="11" t="s">
        <v>52</v>
      </c>
      <c r="BH43" s="11" t="s">
        <v>52</v>
      </c>
      <c r="BI43" s="11" t="s">
        <v>52</v>
      </c>
      <c r="BJ43" s="11" t="s">
        <v>52</v>
      </c>
      <c r="BK43" s="11" t="s">
        <v>52</v>
      </c>
      <c r="BL43" s="11" t="s">
        <v>52</v>
      </c>
      <c r="BM43" s="11" t="s">
        <v>52</v>
      </c>
      <c r="BN43" s="11" t="s">
        <v>52</v>
      </c>
      <c r="BO43" s="11" t="s">
        <v>52</v>
      </c>
      <c r="BP43" s="570"/>
      <c r="BQ43" s="570"/>
      <c r="BR43" s="691"/>
      <c r="BS43" s="691"/>
      <c r="BT43" s="53"/>
    </row>
    <row r="44" spans="1:72" s="8" customFormat="1" ht="15" customHeight="1">
      <c r="A44" s="637" t="s">
        <v>1891</v>
      </c>
      <c r="B44" s="569" t="s">
        <v>507</v>
      </c>
      <c r="C44" s="631" t="s">
        <v>508</v>
      </c>
      <c r="D44" s="639" t="s">
        <v>912</v>
      </c>
      <c r="E44" s="639" t="s">
        <v>1017</v>
      </c>
      <c r="F44" s="11" t="s">
        <v>482</v>
      </c>
      <c r="G44" s="588" t="s">
        <v>1075</v>
      </c>
      <c r="H44" s="569" t="s">
        <v>834</v>
      </c>
      <c r="I44" s="677" t="s">
        <v>1020</v>
      </c>
      <c r="J44" s="235">
        <v>34</v>
      </c>
      <c r="K44" s="569">
        <v>80</v>
      </c>
      <c r="L44" s="235" t="s">
        <v>52</v>
      </c>
      <c r="M44" s="615" t="s">
        <v>52</v>
      </c>
      <c r="N44" s="74" t="s">
        <v>52</v>
      </c>
      <c r="O44" s="615" t="s">
        <v>52</v>
      </c>
      <c r="P44" s="246" t="s">
        <v>52</v>
      </c>
      <c r="Q44" s="55" t="s">
        <v>52</v>
      </c>
      <c r="R44" s="11" t="s">
        <v>622</v>
      </c>
      <c r="S44" s="569" t="s">
        <v>52</v>
      </c>
      <c r="T44" s="11" t="s">
        <v>52</v>
      </c>
      <c r="U44" s="11" t="s">
        <v>52</v>
      </c>
      <c r="V44" s="11" t="s">
        <v>52</v>
      </c>
      <c r="W44" s="235" t="s">
        <v>52</v>
      </c>
      <c r="X44" s="617" t="e">
        <f>W44+W45</f>
        <v>#VALUE!</v>
      </c>
      <c r="Y44" s="235"/>
      <c r="Z44" s="11" t="s">
        <v>608</v>
      </c>
      <c r="AA44" s="55">
        <v>1</v>
      </c>
      <c r="AB44" s="11" t="s">
        <v>52</v>
      </c>
      <c r="AC44" s="43">
        <v>34</v>
      </c>
      <c r="AD44" s="43">
        <v>5.6</v>
      </c>
      <c r="AE44" s="43" t="s">
        <v>1077</v>
      </c>
      <c r="AF44" s="16">
        <v>0.83</v>
      </c>
      <c r="AG44" s="16" t="s">
        <v>1078</v>
      </c>
      <c r="AH44" s="16" t="s">
        <v>52</v>
      </c>
      <c r="AI44" s="598" t="s">
        <v>1079</v>
      </c>
      <c r="AJ44" s="16">
        <v>34</v>
      </c>
      <c r="AK44" s="16" t="s">
        <v>1080</v>
      </c>
      <c r="AL44" s="16" t="s">
        <v>1081</v>
      </c>
      <c r="AM44" s="249"/>
      <c r="AN44" s="607" t="s">
        <v>1082</v>
      </c>
      <c r="AO44" s="11" t="s">
        <v>52</v>
      </c>
      <c r="AP44" s="11" t="s">
        <v>52</v>
      </c>
      <c r="AQ44" s="11" t="s">
        <v>52</v>
      </c>
      <c r="AR44" s="11" t="s">
        <v>52</v>
      </c>
      <c r="AS44" s="569" t="s">
        <v>52</v>
      </c>
      <c r="AT44" s="55" t="s">
        <v>52</v>
      </c>
      <c r="AU44" s="55" t="s">
        <v>52</v>
      </c>
      <c r="AV44" s="621" t="s">
        <v>52</v>
      </c>
      <c r="AW44" s="11" t="s">
        <v>52</v>
      </c>
      <c r="AX44" s="11" t="s">
        <v>52</v>
      </c>
      <c r="AY44" s="11" t="s">
        <v>52</v>
      </c>
      <c r="AZ44" s="11" t="s">
        <v>52</v>
      </c>
      <c r="BA44" s="11" t="s">
        <v>52</v>
      </c>
      <c r="BB44" s="11" t="s">
        <v>52</v>
      </c>
      <c r="BC44" s="11" t="s">
        <v>52</v>
      </c>
      <c r="BD44" s="11" t="s">
        <v>52</v>
      </c>
      <c r="BE44" s="11" t="s">
        <v>52</v>
      </c>
      <c r="BF44" s="11" t="s">
        <v>52</v>
      </c>
      <c r="BG44" s="11" t="s">
        <v>52</v>
      </c>
      <c r="BH44" s="11" t="s">
        <v>52</v>
      </c>
      <c r="BI44" s="11" t="s">
        <v>52</v>
      </c>
      <c r="BJ44" s="11" t="s">
        <v>52</v>
      </c>
      <c r="BK44" s="11" t="s">
        <v>52</v>
      </c>
      <c r="BL44" s="11" t="s">
        <v>52</v>
      </c>
      <c r="BM44" s="11" t="s">
        <v>52</v>
      </c>
      <c r="BN44" s="11" t="s">
        <v>52</v>
      </c>
      <c r="BO44" s="11" t="s">
        <v>52</v>
      </c>
      <c r="BP44" s="569" t="s">
        <v>52</v>
      </c>
      <c r="BQ44" s="569" t="s">
        <v>52</v>
      </c>
      <c r="BR44" s="690"/>
      <c r="BS44" s="690"/>
      <c r="BT44" s="53"/>
    </row>
    <row r="45" spans="1:72" s="8" customFormat="1" ht="15" customHeight="1">
      <c r="A45" s="638"/>
      <c r="B45" s="636"/>
      <c r="C45" s="632"/>
      <c r="D45" s="636"/>
      <c r="E45" s="636"/>
      <c r="F45" s="11" t="s">
        <v>489</v>
      </c>
      <c r="G45" s="588"/>
      <c r="H45" s="620"/>
      <c r="I45" s="678"/>
      <c r="J45" s="235">
        <v>46</v>
      </c>
      <c r="K45" s="570"/>
      <c r="L45" s="235" t="s">
        <v>52</v>
      </c>
      <c r="M45" s="616"/>
      <c r="N45" s="74" t="s">
        <v>52</v>
      </c>
      <c r="O45" s="616"/>
      <c r="P45" s="246" t="s">
        <v>52</v>
      </c>
      <c r="Q45" s="55" t="s">
        <v>52</v>
      </c>
      <c r="R45" s="11" t="s">
        <v>622</v>
      </c>
      <c r="S45" s="570"/>
      <c r="T45" s="11" t="s">
        <v>52</v>
      </c>
      <c r="U45" s="11" t="s">
        <v>52</v>
      </c>
      <c r="V45" s="11" t="s">
        <v>52</v>
      </c>
      <c r="W45" s="235" t="s">
        <v>52</v>
      </c>
      <c r="X45" s="618"/>
      <c r="Y45" s="235"/>
      <c r="Z45" s="11" t="s">
        <v>608</v>
      </c>
      <c r="AA45" s="55">
        <v>1</v>
      </c>
      <c r="AB45" s="11" t="s">
        <v>52</v>
      </c>
      <c r="AC45" s="43">
        <v>46</v>
      </c>
      <c r="AD45" s="73">
        <v>3.7</v>
      </c>
      <c r="AE45" s="43" t="s">
        <v>1092</v>
      </c>
      <c r="AF45" s="19" t="s">
        <v>52</v>
      </c>
      <c r="AG45" s="19" t="s">
        <v>52</v>
      </c>
      <c r="AH45" s="19" t="s">
        <v>52</v>
      </c>
      <c r="AI45" s="611"/>
      <c r="AJ45" s="16">
        <v>46</v>
      </c>
      <c r="AK45" s="16" t="s">
        <v>1094</v>
      </c>
      <c r="AL45" s="16" t="s">
        <v>1095</v>
      </c>
      <c r="AM45" s="250"/>
      <c r="AN45" s="675"/>
      <c r="AO45" s="11" t="s">
        <v>52</v>
      </c>
      <c r="AP45" s="11" t="s">
        <v>52</v>
      </c>
      <c r="AQ45" s="11" t="s">
        <v>52</v>
      </c>
      <c r="AR45" s="11" t="s">
        <v>52</v>
      </c>
      <c r="AS45" s="570"/>
      <c r="AT45" s="55" t="s">
        <v>52</v>
      </c>
      <c r="AU45" s="55" t="s">
        <v>52</v>
      </c>
      <c r="AV45" s="622"/>
      <c r="AW45" s="11" t="s">
        <v>52</v>
      </c>
      <c r="AX45" s="11" t="s">
        <v>52</v>
      </c>
      <c r="AY45" s="11" t="s">
        <v>52</v>
      </c>
      <c r="AZ45" s="11" t="s">
        <v>52</v>
      </c>
      <c r="BA45" s="11" t="s">
        <v>52</v>
      </c>
      <c r="BB45" s="11" t="s">
        <v>52</v>
      </c>
      <c r="BC45" s="11" t="s">
        <v>52</v>
      </c>
      <c r="BD45" s="11" t="s">
        <v>52</v>
      </c>
      <c r="BE45" s="11" t="s">
        <v>52</v>
      </c>
      <c r="BF45" s="11" t="s">
        <v>52</v>
      </c>
      <c r="BG45" s="11" t="s">
        <v>52</v>
      </c>
      <c r="BH45" s="11" t="s">
        <v>52</v>
      </c>
      <c r="BI45" s="11" t="s">
        <v>52</v>
      </c>
      <c r="BJ45" s="11" t="s">
        <v>52</v>
      </c>
      <c r="BK45" s="11" t="s">
        <v>52</v>
      </c>
      <c r="BL45" s="11" t="s">
        <v>52</v>
      </c>
      <c r="BM45" s="11" t="s">
        <v>52</v>
      </c>
      <c r="BN45" s="11" t="s">
        <v>52</v>
      </c>
      <c r="BO45" s="11" t="s">
        <v>52</v>
      </c>
      <c r="BP45" s="570"/>
      <c r="BQ45" s="570"/>
      <c r="BR45" s="691"/>
      <c r="BS45" s="691"/>
      <c r="BT45" s="53"/>
    </row>
    <row r="46" spans="1:72" s="8" customFormat="1" ht="15" customHeight="1">
      <c r="A46" s="637" t="s">
        <v>1891</v>
      </c>
      <c r="B46" s="588" t="s">
        <v>870</v>
      </c>
      <c r="C46" s="654" t="s">
        <v>871</v>
      </c>
      <c r="D46" s="588" t="s">
        <v>875</v>
      </c>
      <c r="E46" s="588" t="s">
        <v>1102</v>
      </c>
      <c r="F46" s="11" t="s">
        <v>893</v>
      </c>
      <c r="G46" s="569" t="s">
        <v>1103</v>
      </c>
      <c r="H46" s="588" t="s">
        <v>1104</v>
      </c>
      <c r="I46" s="612" t="s">
        <v>1105</v>
      </c>
      <c r="J46" s="235">
        <v>15</v>
      </c>
      <c r="K46" s="569">
        <v>88</v>
      </c>
      <c r="L46" s="235">
        <v>80</v>
      </c>
      <c r="M46" s="606">
        <v>76.295454545454533</v>
      </c>
      <c r="N46" s="74">
        <v>12</v>
      </c>
      <c r="O46" s="606">
        <v>53</v>
      </c>
      <c r="P46" s="246">
        <v>12</v>
      </c>
      <c r="Q46" s="55" t="s">
        <v>1106</v>
      </c>
      <c r="R46" s="72" t="s">
        <v>635</v>
      </c>
      <c r="S46" s="11" t="s">
        <v>52</v>
      </c>
      <c r="T46" s="55" t="s">
        <v>1107</v>
      </c>
      <c r="U46" s="55" t="s">
        <v>52</v>
      </c>
      <c r="V46" s="11" t="s">
        <v>1108</v>
      </c>
      <c r="W46" s="235">
        <v>13</v>
      </c>
      <c r="X46" s="606">
        <f>W46+W47+W48</f>
        <v>72</v>
      </c>
      <c r="Y46" s="235"/>
      <c r="Z46" s="11" t="s">
        <v>1109</v>
      </c>
      <c r="AA46" s="11" t="s">
        <v>633</v>
      </c>
      <c r="AB46" s="11">
        <v>42</v>
      </c>
      <c r="AC46" s="11">
        <v>1</v>
      </c>
      <c r="AD46" s="11">
        <v>0.2</v>
      </c>
      <c r="AE46" s="11" t="s">
        <v>1110</v>
      </c>
      <c r="AF46" s="11" t="s">
        <v>52</v>
      </c>
      <c r="AG46" s="11" t="s">
        <v>52</v>
      </c>
      <c r="AH46" s="11" t="s">
        <v>52</v>
      </c>
      <c r="AI46" s="594" t="s">
        <v>1111</v>
      </c>
      <c r="AJ46" s="16">
        <v>15</v>
      </c>
      <c r="AK46" s="16" t="s">
        <v>1112</v>
      </c>
      <c r="AL46" s="16" t="s">
        <v>1114</v>
      </c>
      <c r="AM46" s="239"/>
      <c r="AN46" s="593" t="s">
        <v>1113</v>
      </c>
      <c r="AO46" s="11" t="s">
        <v>52</v>
      </c>
      <c r="AP46" s="11" t="s">
        <v>52</v>
      </c>
      <c r="AQ46" s="11" t="s">
        <v>52</v>
      </c>
      <c r="AR46" s="11" t="s">
        <v>52</v>
      </c>
      <c r="AS46" s="588" t="s">
        <v>52</v>
      </c>
      <c r="AT46" s="11" t="s">
        <v>52</v>
      </c>
      <c r="AU46" s="11" t="s">
        <v>52</v>
      </c>
      <c r="AV46" s="588" t="s">
        <v>52</v>
      </c>
      <c r="AW46" s="11">
        <v>14</v>
      </c>
      <c r="AX46" s="11" t="s">
        <v>1115</v>
      </c>
      <c r="AY46" s="11" t="s">
        <v>1116</v>
      </c>
      <c r="AZ46" s="11" t="s">
        <v>1117</v>
      </c>
      <c r="BA46" s="11" t="s">
        <v>52</v>
      </c>
      <c r="BB46" s="11" t="s">
        <v>52</v>
      </c>
      <c r="BC46" s="11" t="s">
        <v>1115</v>
      </c>
      <c r="BD46" s="11" t="s">
        <v>1115</v>
      </c>
      <c r="BE46" s="11" t="s">
        <v>52</v>
      </c>
      <c r="BF46" s="11" t="s">
        <v>52</v>
      </c>
      <c r="BG46" s="11" t="s">
        <v>1117</v>
      </c>
      <c r="BH46" s="11" t="s">
        <v>52</v>
      </c>
      <c r="BI46" s="11" t="s">
        <v>52</v>
      </c>
      <c r="BJ46" s="11" t="s">
        <v>1118</v>
      </c>
      <c r="BK46" s="11" t="s">
        <v>52</v>
      </c>
      <c r="BL46" s="11" t="s">
        <v>52</v>
      </c>
      <c r="BM46" s="11" t="s">
        <v>1117</v>
      </c>
      <c r="BN46" s="11" t="s">
        <v>52</v>
      </c>
      <c r="BO46" s="11" t="s">
        <v>52</v>
      </c>
      <c r="BP46" s="588" t="s">
        <v>52</v>
      </c>
      <c r="BQ46" s="588" t="s">
        <v>52</v>
      </c>
      <c r="BR46" s="588" t="s">
        <v>722</v>
      </c>
      <c r="BS46" s="588" t="s">
        <v>1122</v>
      </c>
      <c r="BT46" s="53"/>
    </row>
    <row r="47" spans="1:72" s="8" customFormat="1" ht="15" customHeight="1">
      <c r="A47" s="645"/>
      <c r="B47" s="588"/>
      <c r="C47" s="655"/>
      <c r="D47" s="588"/>
      <c r="E47" s="588"/>
      <c r="F47" s="11" t="s">
        <v>916</v>
      </c>
      <c r="G47" s="620"/>
      <c r="H47" s="588"/>
      <c r="I47" s="612"/>
      <c r="J47" s="235">
        <v>39</v>
      </c>
      <c r="K47" s="620"/>
      <c r="L47" s="235">
        <v>76</v>
      </c>
      <c r="M47" s="606"/>
      <c r="N47" s="74">
        <v>22</v>
      </c>
      <c r="O47" s="606"/>
      <c r="P47" s="246">
        <v>22</v>
      </c>
      <c r="Q47" s="55" t="s">
        <v>1127</v>
      </c>
      <c r="R47" s="72" t="s">
        <v>1128</v>
      </c>
      <c r="S47" s="11" t="s">
        <v>52</v>
      </c>
      <c r="T47" s="55" t="s">
        <v>1129</v>
      </c>
      <c r="U47" s="55" t="s">
        <v>52</v>
      </c>
      <c r="V47" s="11" t="s">
        <v>1131</v>
      </c>
      <c r="W47" s="235">
        <v>32</v>
      </c>
      <c r="X47" s="606"/>
      <c r="Y47" s="235"/>
      <c r="Z47" s="11" t="s">
        <v>1132</v>
      </c>
      <c r="AA47" s="11" t="s">
        <v>1133</v>
      </c>
      <c r="AB47" s="11">
        <v>56</v>
      </c>
      <c r="AC47" s="11">
        <v>4</v>
      </c>
      <c r="AD47" s="11">
        <v>7.1</v>
      </c>
      <c r="AE47" s="11" t="s">
        <v>1135</v>
      </c>
      <c r="AF47" s="11" t="s">
        <v>52</v>
      </c>
      <c r="AG47" s="11" t="s">
        <v>52</v>
      </c>
      <c r="AH47" s="11" t="s">
        <v>52</v>
      </c>
      <c r="AI47" s="594"/>
      <c r="AJ47" s="16">
        <v>39</v>
      </c>
      <c r="AK47" s="43" t="s">
        <v>1136</v>
      </c>
      <c r="AL47" s="16" t="s">
        <v>1138</v>
      </c>
      <c r="AM47" s="239"/>
      <c r="AN47" s="593"/>
      <c r="AO47" s="11" t="s">
        <v>52</v>
      </c>
      <c r="AP47" s="11" t="s">
        <v>52</v>
      </c>
      <c r="AQ47" s="11" t="s">
        <v>52</v>
      </c>
      <c r="AR47" s="11" t="s">
        <v>52</v>
      </c>
      <c r="AS47" s="588"/>
      <c r="AT47" s="55" t="s">
        <v>52</v>
      </c>
      <c r="AU47" s="55" t="s">
        <v>52</v>
      </c>
      <c r="AV47" s="588"/>
      <c r="AW47" s="11">
        <v>38</v>
      </c>
      <c r="AX47" s="11" t="s">
        <v>1141</v>
      </c>
      <c r="AY47" s="11" t="s">
        <v>1142</v>
      </c>
      <c r="AZ47" s="11" t="s">
        <v>1143</v>
      </c>
      <c r="BA47" s="11" t="s">
        <v>52</v>
      </c>
      <c r="BB47" s="11" t="s">
        <v>52</v>
      </c>
      <c r="BC47" s="11" t="s">
        <v>962</v>
      </c>
      <c r="BD47" s="11" t="s">
        <v>1144</v>
      </c>
      <c r="BE47" s="11" t="s">
        <v>52</v>
      </c>
      <c r="BF47" s="11" t="s">
        <v>52</v>
      </c>
      <c r="BG47" s="11" t="s">
        <v>1145</v>
      </c>
      <c r="BH47" s="11" t="s">
        <v>52</v>
      </c>
      <c r="BI47" s="11" t="s">
        <v>52</v>
      </c>
      <c r="BJ47" s="11" t="s">
        <v>1146</v>
      </c>
      <c r="BK47" s="11" t="s">
        <v>52</v>
      </c>
      <c r="BL47" s="11" t="s">
        <v>52</v>
      </c>
      <c r="BM47" s="11" t="s">
        <v>1149</v>
      </c>
      <c r="BN47" s="11" t="s">
        <v>52</v>
      </c>
      <c r="BO47" s="11" t="s">
        <v>52</v>
      </c>
      <c r="BP47" s="588"/>
      <c r="BQ47" s="588"/>
      <c r="BR47" s="588"/>
      <c r="BS47" s="588"/>
      <c r="BT47" s="53"/>
    </row>
    <row r="48" spans="1:72" s="8" customFormat="1" ht="15" customHeight="1">
      <c r="A48" s="638"/>
      <c r="B48" s="588"/>
      <c r="C48" s="674"/>
      <c r="D48" s="588"/>
      <c r="E48" s="588"/>
      <c r="F48" s="11" t="s">
        <v>482</v>
      </c>
      <c r="G48" s="570"/>
      <c r="H48" s="588"/>
      <c r="I48" s="612"/>
      <c r="J48" s="235">
        <v>34</v>
      </c>
      <c r="K48" s="570"/>
      <c r="L48" s="235">
        <v>75</v>
      </c>
      <c r="M48" s="606"/>
      <c r="N48" s="74">
        <v>19</v>
      </c>
      <c r="O48" s="606"/>
      <c r="P48" s="246">
        <v>19</v>
      </c>
      <c r="Q48" s="55" t="s">
        <v>1158</v>
      </c>
      <c r="R48" s="72" t="s">
        <v>1159</v>
      </c>
      <c r="S48" s="11" t="s">
        <v>52</v>
      </c>
      <c r="T48" s="55" t="s">
        <v>1160</v>
      </c>
      <c r="U48" s="55" t="s">
        <v>52</v>
      </c>
      <c r="V48" s="11" t="s">
        <v>1161</v>
      </c>
      <c r="W48" s="235">
        <v>27</v>
      </c>
      <c r="X48" s="606"/>
      <c r="Y48" s="235"/>
      <c r="Z48" s="11" t="s">
        <v>1162</v>
      </c>
      <c r="AA48" s="11" t="s">
        <v>1162</v>
      </c>
      <c r="AB48" s="11">
        <v>203</v>
      </c>
      <c r="AC48" s="11">
        <v>3</v>
      </c>
      <c r="AD48" s="11">
        <v>4.0999999999999996</v>
      </c>
      <c r="AE48" s="11" t="s">
        <v>1163</v>
      </c>
      <c r="AF48" s="19" t="s">
        <v>52</v>
      </c>
      <c r="AG48" s="19" t="s">
        <v>52</v>
      </c>
      <c r="AH48" s="19" t="s">
        <v>52</v>
      </c>
      <c r="AI48" s="594"/>
      <c r="AJ48" s="16">
        <v>34</v>
      </c>
      <c r="AK48" s="16" t="s">
        <v>1164</v>
      </c>
      <c r="AL48" s="16" t="s">
        <v>1166</v>
      </c>
      <c r="AM48" s="239"/>
      <c r="AN48" s="593"/>
      <c r="AO48" s="11" t="s">
        <v>52</v>
      </c>
      <c r="AP48" s="11" t="s">
        <v>52</v>
      </c>
      <c r="AQ48" s="11" t="s">
        <v>52</v>
      </c>
      <c r="AR48" s="11" t="s">
        <v>52</v>
      </c>
      <c r="AS48" s="588"/>
      <c r="AT48" s="55" t="s">
        <v>52</v>
      </c>
      <c r="AU48" s="55" t="s">
        <v>52</v>
      </c>
      <c r="AV48" s="588"/>
      <c r="AW48" s="11">
        <v>32</v>
      </c>
      <c r="AX48" s="11" t="s">
        <v>1168</v>
      </c>
      <c r="AY48" s="11" t="s">
        <v>1169</v>
      </c>
      <c r="AZ48" s="11" t="s">
        <v>1169</v>
      </c>
      <c r="BA48" s="11" t="s">
        <v>52</v>
      </c>
      <c r="BB48" s="11" t="s">
        <v>52</v>
      </c>
      <c r="BC48" s="11" t="s">
        <v>1170</v>
      </c>
      <c r="BD48" s="11" t="s">
        <v>1171</v>
      </c>
      <c r="BE48" s="11" t="s">
        <v>52</v>
      </c>
      <c r="BF48" s="11" t="s">
        <v>52</v>
      </c>
      <c r="BG48" s="11" t="s">
        <v>1168</v>
      </c>
      <c r="BH48" s="11" t="s">
        <v>52</v>
      </c>
      <c r="BI48" s="11" t="s">
        <v>52</v>
      </c>
      <c r="BJ48" s="11" t="s">
        <v>1173</v>
      </c>
      <c r="BK48" s="11" t="s">
        <v>52</v>
      </c>
      <c r="BL48" s="11" t="s">
        <v>52</v>
      </c>
      <c r="BM48" s="11" t="s">
        <v>1174</v>
      </c>
      <c r="BN48" s="11" t="s">
        <v>52</v>
      </c>
      <c r="BO48" s="11" t="s">
        <v>52</v>
      </c>
      <c r="BP48" s="588"/>
      <c r="BQ48" s="588"/>
      <c r="BR48" s="588"/>
      <c r="BS48" s="588"/>
      <c r="BT48" s="53"/>
    </row>
    <row r="49" spans="1:72" s="8" customFormat="1" ht="15" customHeight="1">
      <c r="A49" s="651" t="s">
        <v>1882</v>
      </c>
      <c r="B49" s="588" t="s">
        <v>927</v>
      </c>
      <c r="C49" s="670" t="s">
        <v>928</v>
      </c>
      <c r="D49" s="569" t="s">
        <v>52</v>
      </c>
      <c r="E49" s="569" t="s">
        <v>1177</v>
      </c>
      <c r="F49" s="54" t="s">
        <v>482</v>
      </c>
      <c r="G49" s="621" t="s">
        <v>1178</v>
      </c>
      <c r="H49" s="621" t="s">
        <v>1179</v>
      </c>
      <c r="I49" s="658" t="s">
        <v>1180</v>
      </c>
      <c r="J49" s="235">
        <v>36</v>
      </c>
      <c r="K49" s="589">
        <v>72</v>
      </c>
      <c r="L49" s="235" t="s">
        <v>52</v>
      </c>
      <c r="M49" s="569">
        <v>71.5</v>
      </c>
      <c r="N49" s="268">
        <v>21</v>
      </c>
      <c r="O49" s="615">
        <v>42</v>
      </c>
      <c r="P49" s="277">
        <v>21</v>
      </c>
      <c r="Q49" s="676" t="s">
        <v>1185</v>
      </c>
      <c r="R49" s="676" t="s">
        <v>1186</v>
      </c>
      <c r="S49" s="11" t="s">
        <v>52</v>
      </c>
      <c r="T49" s="11" t="s">
        <v>52</v>
      </c>
      <c r="U49" s="11" t="s">
        <v>52</v>
      </c>
      <c r="V49" s="11" t="s">
        <v>52</v>
      </c>
      <c r="W49" s="235" t="s">
        <v>52</v>
      </c>
      <c r="X49" s="617" t="str">
        <f>W49</f>
        <v>NR</v>
      </c>
      <c r="Y49" s="235"/>
      <c r="Z49" s="11" t="s">
        <v>52</v>
      </c>
      <c r="AA49" s="11" t="s">
        <v>52</v>
      </c>
      <c r="AB49" s="11" t="s">
        <v>52</v>
      </c>
      <c r="AC49" s="16" t="s">
        <v>52</v>
      </c>
      <c r="AD49" s="16" t="s">
        <v>52</v>
      </c>
      <c r="AE49" s="16" t="s">
        <v>52</v>
      </c>
      <c r="AF49" s="16" t="s">
        <v>52</v>
      </c>
      <c r="AG49" s="16" t="s">
        <v>52</v>
      </c>
      <c r="AH49" s="16" t="s">
        <v>52</v>
      </c>
      <c r="AI49" s="598" t="s">
        <v>52</v>
      </c>
      <c r="AJ49" s="16" t="s">
        <v>52</v>
      </c>
      <c r="AK49" s="16" t="s">
        <v>52</v>
      </c>
      <c r="AL49" s="16" t="s">
        <v>52</v>
      </c>
      <c r="AM49" s="249"/>
      <c r="AN49" s="627" t="s">
        <v>52</v>
      </c>
      <c r="AO49" s="11" t="s">
        <v>52</v>
      </c>
      <c r="AP49" s="11" t="s">
        <v>52</v>
      </c>
      <c r="AQ49" s="11" t="s">
        <v>52</v>
      </c>
      <c r="AR49" s="11" t="s">
        <v>52</v>
      </c>
      <c r="AS49" s="623" t="s">
        <v>52</v>
      </c>
      <c r="AT49" s="54" t="s">
        <v>52</v>
      </c>
      <c r="AU49" s="11" t="s">
        <v>52</v>
      </c>
      <c r="AV49" s="569" t="s">
        <v>52</v>
      </c>
      <c r="AW49" s="54" t="s">
        <v>52</v>
      </c>
      <c r="AX49" s="54" t="s">
        <v>52</v>
      </c>
      <c r="AY49" s="54" t="s">
        <v>52</v>
      </c>
      <c r="AZ49" s="54" t="s">
        <v>52</v>
      </c>
      <c r="BA49" s="54" t="s">
        <v>52</v>
      </c>
      <c r="BB49" s="54" t="s">
        <v>52</v>
      </c>
      <c r="BC49" s="54" t="s">
        <v>52</v>
      </c>
      <c r="BD49" s="54" t="s">
        <v>52</v>
      </c>
      <c r="BE49" s="54" t="s">
        <v>52</v>
      </c>
      <c r="BF49" s="54" t="s">
        <v>52</v>
      </c>
      <c r="BG49" s="54" t="s">
        <v>52</v>
      </c>
      <c r="BH49" s="54" t="s">
        <v>52</v>
      </c>
      <c r="BI49" s="54" t="s">
        <v>52</v>
      </c>
      <c r="BJ49" s="54" t="s">
        <v>52</v>
      </c>
      <c r="BK49" s="54" t="s">
        <v>52</v>
      </c>
      <c r="BL49" s="54" t="s">
        <v>52</v>
      </c>
      <c r="BM49" s="54" t="s">
        <v>52</v>
      </c>
      <c r="BN49" s="54" t="s">
        <v>52</v>
      </c>
      <c r="BO49" s="54" t="s">
        <v>52</v>
      </c>
      <c r="BP49" s="621" t="s">
        <v>52</v>
      </c>
      <c r="BQ49" s="621" t="s">
        <v>52</v>
      </c>
      <c r="BR49" s="621" t="s">
        <v>52</v>
      </c>
      <c r="BS49" s="621" t="s">
        <v>52</v>
      </c>
      <c r="BT49" s="53"/>
    </row>
    <row r="50" spans="1:72" s="8" customFormat="1" ht="15" customHeight="1">
      <c r="A50" s="652"/>
      <c r="B50" s="588"/>
      <c r="C50" s="671"/>
      <c r="D50" s="570"/>
      <c r="E50" s="570"/>
      <c r="F50" s="54" t="s">
        <v>955</v>
      </c>
      <c r="G50" s="622"/>
      <c r="H50" s="622"/>
      <c r="I50" s="659"/>
      <c r="J50" s="235">
        <v>36</v>
      </c>
      <c r="K50" s="590"/>
      <c r="L50" s="235" t="s">
        <v>52</v>
      </c>
      <c r="M50" s="570"/>
      <c r="N50" s="268">
        <v>21</v>
      </c>
      <c r="O50" s="616"/>
      <c r="P50" s="278">
        <v>21</v>
      </c>
      <c r="Q50" s="570"/>
      <c r="R50" s="570"/>
      <c r="S50" s="11" t="s">
        <v>52</v>
      </c>
      <c r="T50" s="11" t="s">
        <v>52</v>
      </c>
      <c r="U50" s="11" t="s">
        <v>52</v>
      </c>
      <c r="V50" s="11" t="s">
        <v>52</v>
      </c>
      <c r="W50" s="74" t="s">
        <v>52</v>
      </c>
      <c r="X50" s="618"/>
      <c r="Y50" s="74"/>
      <c r="Z50" s="11" t="s">
        <v>52</v>
      </c>
      <c r="AA50" s="11" t="s">
        <v>52</v>
      </c>
      <c r="AB50" s="11" t="s">
        <v>52</v>
      </c>
      <c r="AC50" s="16" t="s">
        <v>52</v>
      </c>
      <c r="AD50" s="16" t="s">
        <v>52</v>
      </c>
      <c r="AE50" s="16" t="s">
        <v>52</v>
      </c>
      <c r="AF50" s="19" t="s">
        <v>52</v>
      </c>
      <c r="AG50" s="19" t="s">
        <v>52</v>
      </c>
      <c r="AH50" s="19" t="s">
        <v>52</v>
      </c>
      <c r="AI50" s="611"/>
      <c r="AJ50" s="16" t="s">
        <v>52</v>
      </c>
      <c r="AK50" s="16" t="s">
        <v>52</v>
      </c>
      <c r="AL50" s="16" t="s">
        <v>52</v>
      </c>
      <c r="AM50" s="250"/>
      <c r="AN50" s="628"/>
      <c r="AO50" s="11" t="s">
        <v>52</v>
      </c>
      <c r="AP50" s="11" t="s">
        <v>52</v>
      </c>
      <c r="AQ50" s="11" t="s">
        <v>52</v>
      </c>
      <c r="AR50" s="11" t="s">
        <v>52</v>
      </c>
      <c r="AS50" s="624"/>
      <c r="AT50" s="54" t="s">
        <v>52</v>
      </c>
      <c r="AU50" s="11" t="s">
        <v>52</v>
      </c>
      <c r="AV50" s="570"/>
      <c r="AW50" s="54" t="s">
        <v>52</v>
      </c>
      <c r="AX50" s="54" t="s">
        <v>52</v>
      </c>
      <c r="AY50" s="54" t="s">
        <v>52</v>
      </c>
      <c r="AZ50" s="54" t="s">
        <v>52</v>
      </c>
      <c r="BA50" s="54" t="s">
        <v>52</v>
      </c>
      <c r="BB50" s="54" t="s">
        <v>52</v>
      </c>
      <c r="BC50" s="54" t="s">
        <v>52</v>
      </c>
      <c r="BD50" s="54" t="s">
        <v>52</v>
      </c>
      <c r="BE50" s="54" t="s">
        <v>52</v>
      </c>
      <c r="BF50" s="54" t="s">
        <v>52</v>
      </c>
      <c r="BG50" s="54" t="s">
        <v>52</v>
      </c>
      <c r="BH50" s="54" t="s">
        <v>52</v>
      </c>
      <c r="BI50" s="54" t="s">
        <v>52</v>
      </c>
      <c r="BJ50" s="54" t="s">
        <v>52</v>
      </c>
      <c r="BK50" s="54" t="s">
        <v>52</v>
      </c>
      <c r="BL50" s="54" t="s">
        <v>52</v>
      </c>
      <c r="BM50" s="54" t="s">
        <v>52</v>
      </c>
      <c r="BN50" s="54" t="s">
        <v>52</v>
      </c>
      <c r="BO50" s="54" t="s">
        <v>52</v>
      </c>
      <c r="BP50" s="622"/>
      <c r="BQ50" s="622"/>
      <c r="BR50" s="622"/>
      <c r="BS50" s="622"/>
      <c r="BT50" s="53"/>
    </row>
    <row r="51" spans="1:72" s="8" customFormat="1" ht="15" customHeight="1">
      <c r="A51" s="637" t="s">
        <v>1882</v>
      </c>
      <c r="B51" s="649" t="s">
        <v>987</v>
      </c>
      <c r="C51" s="660" t="s">
        <v>989</v>
      </c>
      <c r="D51" s="661" t="s">
        <v>991</v>
      </c>
      <c r="E51" s="661" t="s">
        <v>1205</v>
      </c>
      <c r="F51" s="11" t="s">
        <v>482</v>
      </c>
      <c r="G51" s="569" t="s">
        <v>1208</v>
      </c>
      <c r="H51" s="588" t="s">
        <v>1209</v>
      </c>
      <c r="I51" s="612" t="s">
        <v>1210</v>
      </c>
      <c r="J51" s="235">
        <v>80</v>
      </c>
      <c r="K51" s="623">
        <v>160</v>
      </c>
      <c r="L51" s="235">
        <v>69.099999999999994</v>
      </c>
      <c r="M51" s="569">
        <v>70.7</v>
      </c>
      <c r="N51" s="74">
        <v>52</v>
      </c>
      <c r="O51" s="615">
        <v>110</v>
      </c>
      <c r="P51" s="246">
        <v>52</v>
      </c>
      <c r="Q51" s="11" t="s">
        <v>700</v>
      </c>
      <c r="R51" s="54" t="s">
        <v>1211</v>
      </c>
      <c r="S51" s="11" t="s">
        <v>52</v>
      </c>
      <c r="T51" s="11" t="s">
        <v>52</v>
      </c>
      <c r="U51" s="11" t="s">
        <v>52</v>
      </c>
      <c r="V51" s="11" t="s">
        <v>1212</v>
      </c>
      <c r="W51" s="246">
        <v>83</v>
      </c>
      <c r="X51" s="617">
        <f>W51+W52</f>
        <v>152</v>
      </c>
      <c r="Y51" s="246"/>
      <c r="Z51" s="11" t="s">
        <v>1213</v>
      </c>
      <c r="AA51" s="11" t="s">
        <v>1215</v>
      </c>
      <c r="AB51" s="71" t="s">
        <v>52</v>
      </c>
      <c r="AC51" s="43" t="s">
        <v>52</v>
      </c>
      <c r="AD51" s="43" t="s">
        <v>52</v>
      </c>
      <c r="AE51" s="43" t="s">
        <v>52</v>
      </c>
      <c r="AF51" s="43" t="s">
        <v>52</v>
      </c>
      <c r="AG51" s="43" t="s">
        <v>52</v>
      </c>
      <c r="AH51" s="43" t="s">
        <v>52</v>
      </c>
      <c r="AI51" s="598" t="s">
        <v>52</v>
      </c>
      <c r="AJ51" s="16" t="s">
        <v>52</v>
      </c>
      <c r="AK51" s="16" t="s">
        <v>52</v>
      </c>
      <c r="AL51" s="17" t="s">
        <v>52</v>
      </c>
      <c r="AM51" s="17"/>
      <c r="AN51" s="627" t="s">
        <v>52</v>
      </c>
      <c r="AO51" s="11" t="s">
        <v>52</v>
      </c>
      <c r="AP51" s="11" t="s">
        <v>52</v>
      </c>
      <c r="AQ51" s="11">
        <v>167.2</v>
      </c>
      <c r="AR51" s="11" t="s">
        <v>1217</v>
      </c>
      <c r="AS51" s="569" t="s">
        <v>1218</v>
      </c>
      <c r="AT51" s="11" t="s">
        <v>52</v>
      </c>
      <c r="AU51" s="11" t="s">
        <v>52</v>
      </c>
      <c r="AV51" s="11" t="s">
        <v>52</v>
      </c>
      <c r="AW51" s="11">
        <v>79</v>
      </c>
      <c r="AX51" s="11" t="s">
        <v>52</v>
      </c>
      <c r="AY51" s="11" t="s">
        <v>52</v>
      </c>
      <c r="AZ51" s="66">
        <v>0.78</v>
      </c>
      <c r="BA51" s="11" t="s">
        <v>52</v>
      </c>
      <c r="BB51" s="11" t="s">
        <v>52</v>
      </c>
      <c r="BC51" s="11" t="s">
        <v>52</v>
      </c>
      <c r="BD51" s="66">
        <v>0.63</v>
      </c>
      <c r="BE51" s="11" t="s">
        <v>52</v>
      </c>
      <c r="BF51" s="11" t="s">
        <v>52</v>
      </c>
      <c r="BG51" s="11" t="s">
        <v>52</v>
      </c>
      <c r="BH51" s="11" t="s">
        <v>52</v>
      </c>
      <c r="BI51" s="11" t="s">
        <v>52</v>
      </c>
      <c r="BJ51" s="11" t="s">
        <v>52</v>
      </c>
      <c r="BK51" s="11" t="s">
        <v>52</v>
      </c>
      <c r="BL51" s="11" t="s">
        <v>52</v>
      </c>
      <c r="BM51" s="11" t="s">
        <v>1219</v>
      </c>
      <c r="BN51" s="11" t="s">
        <v>52</v>
      </c>
      <c r="BO51" s="11" t="s">
        <v>52</v>
      </c>
      <c r="BP51" s="569" t="s">
        <v>13</v>
      </c>
      <c r="BQ51" s="569" t="s">
        <v>1220</v>
      </c>
      <c r="BR51" s="621" t="s">
        <v>722</v>
      </c>
      <c r="BS51" s="621" t="s">
        <v>1221</v>
      </c>
      <c r="BT51" s="50"/>
    </row>
    <row r="52" spans="1:72" s="8" customFormat="1" ht="15" customHeight="1">
      <c r="A52" s="638"/>
      <c r="B52" s="649"/>
      <c r="C52" s="660"/>
      <c r="D52" s="661"/>
      <c r="E52" s="661"/>
      <c r="F52" s="11" t="s">
        <v>1222</v>
      </c>
      <c r="G52" s="570"/>
      <c r="H52" s="588"/>
      <c r="I52" s="612"/>
      <c r="J52" s="235">
        <v>80</v>
      </c>
      <c r="K52" s="624"/>
      <c r="L52" s="235">
        <v>71.400000000000006</v>
      </c>
      <c r="M52" s="570"/>
      <c r="N52" s="74">
        <v>58</v>
      </c>
      <c r="O52" s="616"/>
      <c r="P52" s="246">
        <v>58</v>
      </c>
      <c r="Q52" s="11" t="s">
        <v>1223</v>
      </c>
      <c r="R52" s="54" t="s">
        <v>1224</v>
      </c>
      <c r="S52" s="11" t="s">
        <v>52</v>
      </c>
      <c r="T52" s="11" t="s">
        <v>52</v>
      </c>
      <c r="U52" s="11" t="s">
        <v>52</v>
      </c>
      <c r="V52" s="11" t="s">
        <v>1228</v>
      </c>
      <c r="W52" s="246">
        <v>69</v>
      </c>
      <c r="X52" s="618"/>
      <c r="Y52" s="246"/>
      <c r="Z52" s="11" t="s">
        <v>1229</v>
      </c>
      <c r="AA52" s="11" t="s">
        <v>1230</v>
      </c>
      <c r="AB52" s="47">
        <v>252</v>
      </c>
      <c r="AC52" s="43" t="s">
        <v>52</v>
      </c>
      <c r="AD52" s="43" t="s">
        <v>52</v>
      </c>
      <c r="AE52" s="43" t="s">
        <v>52</v>
      </c>
      <c r="AF52" s="19" t="s">
        <v>52</v>
      </c>
      <c r="AG52" s="19" t="s">
        <v>52</v>
      </c>
      <c r="AH52" s="19" t="s">
        <v>52</v>
      </c>
      <c r="AI52" s="599"/>
      <c r="AJ52" s="16" t="s">
        <v>52</v>
      </c>
      <c r="AK52" s="16" t="s">
        <v>52</v>
      </c>
      <c r="AL52" s="17" t="s">
        <v>52</v>
      </c>
      <c r="AM52" s="17"/>
      <c r="AN52" s="628"/>
      <c r="AO52" s="11" t="s">
        <v>52</v>
      </c>
      <c r="AP52" s="11" t="s">
        <v>52</v>
      </c>
      <c r="AQ52" s="21">
        <v>145.91999999999999</v>
      </c>
      <c r="AR52" s="11" t="s">
        <v>1240</v>
      </c>
      <c r="AS52" s="570"/>
      <c r="AT52" s="11" t="s">
        <v>52</v>
      </c>
      <c r="AU52" s="11" t="s">
        <v>52</v>
      </c>
      <c r="AV52" s="11" t="s">
        <v>52</v>
      </c>
      <c r="AW52" s="11">
        <v>80</v>
      </c>
      <c r="AX52" s="11" t="s">
        <v>52</v>
      </c>
      <c r="AY52" s="11" t="s">
        <v>52</v>
      </c>
      <c r="AZ52" s="66">
        <v>0.68</v>
      </c>
      <c r="BA52" s="11" t="s">
        <v>52</v>
      </c>
      <c r="BB52" s="11" t="s">
        <v>52</v>
      </c>
      <c r="BC52" s="11" t="s">
        <v>52</v>
      </c>
      <c r="BD52" s="66">
        <v>0.5</v>
      </c>
      <c r="BE52" s="66">
        <v>1.2500000000000001E-2</v>
      </c>
      <c r="BF52" s="11" t="s">
        <v>52</v>
      </c>
      <c r="BG52" s="11" t="s">
        <v>52</v>
      </c>
      <c r="BH52" s="11" t="s">
        <v>52</v>
      </c>
      <c r="BI52" s="11" t="s">
        <v>52</v>
      </c>
      <c r="BJ52" s="11" t="s">
        <v>52</v>
      </c>
      <c r="BK52" s="11" t="s">
        <v>52</v>
      </c>
      <c r="BL52" s="11" t="s">
        <v>52</v>
      </c>
      <c r="BM52" s="11" t="s">
        <v>1245</v>
      </c>
      <c r="BN52" s="11" t="s">
        <v>52</v>
      </c>
      <c r="BO52" s="11" t="s">
        <v>52</v>
      </c>
      <c r="BP52" s="570"/>
      <c r="BQ52" s="570"/>
      <c r="BR52" s="622"/>
      <c r="BS52" s="622"/>
      <c r="BT52" s="50"/>
    </row>
    <row r="53" spans="1:72" s="8" customFormat="1" ht="15" customHeight="1">
      <c r="A53" s="637" t="s">
        <v>1883</v>
      </c>
      <c r="B53" s="588" t="s">
        <v>1053</v>
      </c>
      <c r="C53" s="635" t="s">
        <v>1265</v>
      </c>
      <c r="D53" s="604" t="s">
        <v>1055</v>
      </c>
      <c r="E53" s="604" t="s">
        <v>656</v>
      </c>
      <c r="F53" s="22" t="s">
        <v>1062</v>
      </c>
      <c r="G53" s="604" t="s">
        <v>1266</v>
      </c>
      <c r="H53" s="604" t="s">
        <v>1890</v>
      </c>
      <c r="I53" s="656" t="s">
        <v>1267</v>
      </c>
      <c r="J53" s="234">
        <v>242</v>
      </c>
      <c r="K53" s="589">
        <v>457</v>
      </c>
      <c r="L53" s="253">
        <v>73</v>
      </c>
      <c r="M53" s="591">
        <v>73</v>
      </c>
      <c r="N53" s="269">
        <v>137</v>
      </c>
      <c r="O53" s="615">
        <v>268</v>
      </c>
      <c r="P53" s="41">
        <v>137</v>
      </c>
      <c r="Q53" s="22" t="s">
        <v>1268</v>
      </c>
      <c r="R53" s="55" t="s">
        <v>622</v>
      </c>
      <c r="S53" s="22" t="s">
        <v>1269</v>
      </c>
      <c r="T53" s="592" t="s">
        <v>1074</v>
      </c>
      <c r="U53" s="22" t="s">
        <v>1270</v>
      </c>
      <c r="V53" s="22" t="s">
        <v>1271</v>
      </c>
      <c r="W53" s="234">
        <v>184</v>
      </c>
      <c r="X53" s="617">
        <f>W53+W54</f>
        <v>348</v>
      </c>
      <c r="Y53" s="234"/>
      <c r="Z53" s="22" t="s">
        <v>1273</v>
      </c>
      <c r="AA53" s="22" t="s">
        <v>1274</v>
      </c>
      <c r="AB53" s="41">
        <v>112</v>
      </c>
      <c r="AC53" s="16">
        <v>242</v>
      </c>
      <c r="AD53" s="16">
        <v>7.7</v>
      </c>
      <c r="AE53" s="16" t="s">
        <v>1276</v>
      </c>
      <c r="AF53" s="16">
        <v>0.82</v>
      </c>
      <c r="AG53" s="16" t="s">
        <v>1277</v>
      </c>
      <c r="AH53" s="16">
        <v>3.73E-2</v>
      </c>
      <c r="AI53" s="594" t="s">
        <v>1278</v>
      </c>
      <c r="AJ53" s="16">
        <v>242</v>
      </c>
      <c r="AK53" s="16" t="s">
        <v>1280</v>
      </c>
      <c r="AL53" s="16" t="s">
        <v>1281</v>
      </c>
      <c r="AM53" s="239"/>
      <c r="AN53" s="593" t="s">
        <v>1282</v>
      </c>
      <c r="AO53" s="11">
        <v>242</v>
      </c>
      <c r="AP53" s="22" t="s">
        <v>52</v>
      </c>
      <c r="AQ53" s="22">
        <v>4.3</v>
      </c>
      <c r="AR53" s="22" t="s">
        <v>1283</v>
      </c>
      <c r="AS53" s="614" t="s">
        <v>1284</v>
      </c>
      <c r="AT53" s="22" t="s">
        <v>1285</v>
      </c>
      <c r="AU53" s="22" t="s">
        <v>52</v>
      </c>
      <c r="AV53" s="588" t="s">
        <v>1287</v>
      </c>
      <c r="AW53" s="22">
        <v>238</v>
      </c>
      <c r="AX53" s="22" t="s">
        <v>1289</v>
      </c>
      <c r="AY53" s="22" t="s">
        <v>1290</v>
      </c>
      <c r="AZ53" s="22" t="s">
        <v>1290</v>
      </c>
      <c r="BA53" s="22" t="s">
        <v>52</v>
      </c>
      <c r="BB53" s="22" t="s">
        <v>52</v>
      </c>
      <c r="BC53" s="22" t="s">
        <v>52</v>
      </c>
      <c r="BD53" s="22" t="s">
        <v>1291</v>
      </c>
      <c r="BE53" s="22" t="s">
        <v>52</v>
      </c>
      <c r="BF53" s="22" t="s">
        <v>1292</v>
      </c>
      <c r="BG53" s="22" t="s">
        <v>1293</v>
      </c>
      <c r="BH53" s="22" t="s">
        <v>52</v>
      </c>
      <c r="BI53" s="22" t="s">
        <v>52</v>
      </c>
      <c r="BJ53" s="22" t="s">
        <v>1294</v>
      </c>
      <c r="BK53" s="22" t="s">
        <v>52</v>
      </c>
      <c r="BL53" s="22" t="s">
        <v>52</v>
      </c>
      <c r="BM53" s="22" t="s">
        <v>52</v>
      </c>
      <c r="BN53" s="22" t="s">
        <v>1297</v>
      </c>
      <c r="BO53" s="22" t="s">
        <v>1298</v>
      </c>
      <c r="BP53" s="604" t="s">
        <v>52</v>
      </c>
      <c r="BQ53" s="604" t="s">
        <v>52</v>
      </c>
      <c r="BR53" s="604" t="s">
        <v>610</v>
      </c>
      <c r="BS53" s="604" t="s">
        <v>1299</v>
      </c>
      <c r="BT53" s="53"/>
    </row>
    <row r="54" spans="1:72" s="8" customFormat="1" ht="15" customHeight="1">
      <c r="A54" s="638"/>
      <c r="B54" s="588"/>
      <c r="C54" s="635"/>
      <c r="D54" s="604"/>
      <c r="E54" s="604"/>
      <c r="F54" s="22" t="s">
        <v>489</v>
      </c>
      <c r="G54" s="604"/>
      <c r="H54" s="604"/>
      <c r="I54" s="656"/>
      <c r="J54" s="234">
        <v>215</v>
      </c>
      <c r="K54" s="590"/>
      <c r="L54" s="253">
        <v>73</v>
      </c>
      <c r="M54" s="591"/>
      <c r="N54" s="269">
        <v>131</v>
      </c>
      <c r="O54" s="616"/>
      <c r="P54" s="41">
        <v>131</v>
      </c>
      <c r="Q54" s="22" t="s">
        <v>1300</v>
      </c>
      <c r="R54" s="55" t="s">
        <v>622</v>
      </c>
      <c r="S54" s="22" t="s">
        <v>1301</v>
      </c>
      <c r="T54" s="592"/>
      <c r="U54" s="22" t="s">
        <v>1302</v>
      </c>
      <c r="V54" s="22" t="s">
        <v>1303</v>
      </c>
      <c r="W54" s="234">
        <v>164</v>
      </c>
      <c r="X54" s="618"/>
      <c r="Y54" s="234"/>
      <c r="Z54" s="22" t="s">
        <v>1304</v>
      </c>
      <c r="AA54" s="22" t="s">
        <v>1305</v>
      </c>
      <c r="AB54" s="41">
        <v>56</v>
      </c>
      <c r="AC54" s="16">
        <v>243</v>
      </c>
      <c r="AD54" s="16">
        <v>5</v>
      </c>
      <c r="AE54" s="16" t="s">
        <v>1306</v>
      </c>
      <c r="AF54" s="19" t="s">
        <v>52</v>
      </c>
      <c r="AG54" s="19" t="s">
        <v>52</v>
      </c>
      <c r="AH54" s="19" t="s">
        <v>52</v>
      </c>
      <c r="AI54" s="594"/>
      <c r="AJ54" s="16">
        <v>215</v>
      </c>
      <c r="AK54" s="16" t="s">
        <v>1307</v>
      </c>
      <c r="AL54" s="16" t="s">
        <v>1308</v>
      </c>
      <c r="AM54" s="239"/>
      <c r="AN54" s="593"/>
      <c r="AO54" s="11">
        <v>243</v>
      </c>
      <c r="AP54" s="22" t="s">
        <v>52</v>
      </c>
      <c r="AQ54" s="22">
        <v>3.7</v>
      </c>
      <c r="AR54" s="22" t="s">
        <v>1311</v>
      </c>
      <c r="AS54" s="614"/>
      <c r="AT54" s="22" t="s">
        <v>1312</v>
      </c>
      <c r="AU54" s="22" t="s">
        <v>52</v>
      </c>
      <c r="AV54" s="588"/>
      <c r="AW54" s="22">
        <v>208</v>
      </c>
      <c r="AX54" s="22" t="s">
        <v>1313</v>
      </c>
      <c r="AY54" s="22" t="s">
        <v>1314</v>
      </c>
      <c r="AZ54" s="22" t="s">
        <v>1315</v>
      </c>
      <c r="BA54" s="22" t="s">
        <v>52</v>
      </c>
      <c r="BB54" s="22" t="s">
        <v>52</v>
      </c>
      <c r="BC54" s="22" t="s">
        <v>52</v>
      </c>
      <c r="BD54" s="22" t="s">
        <v>1316</v>
      </c>
      <c r="BE54" s="22" t="s">
        <v>52</v>
      </c>
      <c r="BF54" s="22" t="s">
        <v>1317</v>
      </c>
      <c r="BG54" s="22" t="s">
        <v>1318</v>
      </c>
      <c r="BH54" s="22" t="s">
        <v>52</v>
      </c>
      <c r="BI54" s="22" t="s">
        <v>52</v>
      </c>
      <c r="BJ54" s="22" t="s">
        <v>1319</v>
      </c>
      <c r="BK54" s="22" t="s">
        <v>52</v>
      </c>
      <c r="BL54" s="22" t="s">
        <v>52</v>
      </c>
      <c r="BM54" s="22" t="s">
        <v>52</v>
      </c>
      <c r="BN54" s="22" t="s">
        <v>1320</v>
      </c>
      <c r="BO54" s="22" t="s">
        <v>1321</v>
      </c>
      <c r="BP54" s="604"/>
      <c r="BQ54" s="604"/>
      <c r="BR54" s="604"/>
      <c r="BS54" s="604"/>
      <c r="BT54" s="53"/>
    </row>
    <row r="55" spans="1:72" s="8" customFormat="1" ht="15" customHeight="1">
      <c r="A55" s="651" t="s">
        <v>1882</v>
      </c>
      <c r="B55" s="588" t="s">
        <v>1137</v>
      </c>
      <c r="C55" s="653" t="s">
        <v>1139</v>
      </c>
      <c r="D55" s="588" t="s">
        <v>1322</v>
      </c>
      <c r="E55" s="588" t="s">
        <v>1323</v>
      </c>
      <c r="F55" s="54" t="s">
        <v>1062</v>
      </c>
      <c r="G55" s="621" t="s">
        <v>1266</v>
      </c>
      <c r="H55" s="621" t="s">
        <v>1324</v>
      </c>
      <c r="I55" s="658" t="s">
        <v>1889</v>
      </c>
      <c r="J55" s="235">
        <v>33</v>
      </c>
      <c r="K55" s="589">
        <v>64</v>
      </c>
      <c r="L55" s="235">
        <v>75</v>
      </c>
      <c r="M55" s="569">
        <v>75</v>
      </c>
      <c r="N55" s="74">
        <v>16</v>
      </c>
      <c r="O55" s="615">
        <v>36</v>
      </c>
      <c r="P55" s="246">
        <v>16</v>
      </c>
      <c r="Q55" s="59" t="s">
        <v>1326</v>
      </c>
      <c r="R55" s="59" t="s">
        <v>52</v>
      </c>
      <c r="S55" s="11" t="s">
        <v>1327</v>
      </c>
      <c r="T55" s="11" t="s">
        <v>1328</v>
      </c>
      <c r="U55" s="11" t="s">
        <v>1329</v>
      </c>
      <c r="V55" s="11" t="s">
        <v>1331</v>
      </c>
      <c r="W55" s="235">
        <v>21</v>
      </c>
      <c r="X55" s="617">
        <f>W55+W56</f>
        <v>39</v>
      </c>
      <c r="Y55" s="235"/>
      <c r="Z55" s="11" t="s">
        <v>608</v>
      </c>
      <c r="AA55" s="59" t="s">
        <v>1326</v>
      </c>
      <c r="AB55" s="54">
        <v>45</v>
      </c>
      <c r="AC55" s="16">
        <v>33</v>
      </c>
      <c r="AD55" s="16">
        <v>6.3</v>
      </c>
      <c r="AE55" s="16" t="s">
        <v>1336</v>
      </c>
      <c r="AF55" s="16">
        <v>0.67</v>
      </c>
      <c r="AG55" s="16" t="s">
        <v>1338</v>
      </c>
      <c r="AH55" s="16">
        <v>0.14099999999999999</v>
      </c>
      <c r="AI55" s="598" t="s">
        <v>1339</v>
      </c>
      <c r="AJ55" s="16">
        <v>33</v>
      </c>
      <c r="AK55" s="16" t="s">
        <v>1340</v>
      </c>
      <c r="AL55" s="16" t="s">
        <v>1341</v>
      </c>
      <c r="AM55" s="239"/>
      <c r="AN55" s="593" t="s">
        <v>1342</v>
      </c>
      <c r="AO55" s="11" t="s">
        <v>52</v>
      </c>
      <c r="AP55" s="11" t="s">
        <v>52</v>
      </c>
      <c r="AQ55" s="11" t="s">
        <v>52</v>
      </c>
      <c r="AR55" s="11" t="s">
        <v>52</v>
      </c>
      <c r="AS55" s="672" t="s">
        <v>52</v>
      </c>
      <c r="AT55" s="11" t="s">
        <v>52</v>
      </c>
      <c r="AU55" s="11" t="s">
        <v>52</v>
      </c>
      <c r="AV55" s="569" t="s">
        <v>52</v>
      </c>
      <c r="AW55" s="11" t="s">
        <v>52</v>
      </c>
      <c r="AX55" s="11" t="s">
        <v>52</v>
      </c>
      <c r="AY55" s="11" t="s">
        <v>52</v>
      </c>
      <c r="AZ55" s="11" t="s">
        <v>52</v>
      </c>
      <c r="BA55" s="11" t="s">
        <v>52</v>
      </c>
      <c r="BB55" s="11" t="s">
        <v>52</v>
      </c>
      <c r="BC55" s="11" t="s">
        <v>52</v>
      </c>
      <c r="BD55" s="11" t="s">
        <v>52</v>
      </c>
      <c r="BE55" s="11" t="s">
        <v>52</v>
      </c>
      <c r="BF55" s="11" t="s">
        <v>52</v>
      </c>
      <c r="BG55" s="11" t="s">
        <v>52</v>
      </c>
      <c r="BH55" s="11" t="s">
        <v>52</v>
      </c>
      <c r="BI55" s="11" t="s">
        <v>52</v>
      </c>
      <c r="BJ55" s="11" t="s">
        <v>52</v>
      </c>
      <c r="BK55" s="11" t="s">
        <v>52</v>
      </c>
      <c r="BL55" s="11" t="s">
        <v>52</v>
      </c>
      <c r="BM55" s="11" t="s">
        <v>52</v>
      </c>
      <c r="BN55" s="11" t="s">
        <v>52</v>
      </c>
      <c r="BO55" s="11" t="s">
        <v>52</v>
      </c>
      <c r="BP55" s="569" t="s">
        <v>52</v>
      </c>
      <c r="BQ55" s="569" t="s">
        <v>52</v>
      </c>
      <c r="BR55" s="690"/>
      <c r="BS55" s="690"/>
      <c r="BT55" s="53"/>
    </row>
    <row r="56" spans="1:72" s="8" customFormat="1" ht="15" customHeight="1">
      <c r="A56" s="652"/>
      <c r="B56" s="588"/>
      <c r="C56" s="653"/>
      <c r="D56" s="588"/>
      <c r="E56" s="588"/>
      <c r="F56" s="54" t="s">
        <v>489</v>
      </c>
      <c r="G56" s="622"/>
      <c r="H56" s="622"/>
      <c r="I56" s="659"/>
      <c r="J56" s="235">
        <v>31</v>
      </c>
      <c r="K56" s="590"/>
      <c r="L56" s="235">
        <v>75</v>
      </c>
      <c r="M56" s="570"/>
      <c r="N56" s="74">
        <v>20</v>
      </c>
      <c r="O56" s="616"/>
      <c r="P56" s="246">
        <v>20</v>
      </c>
      <c r="Q56" s="59" t="s">
        <v>1345</v>
      </c>
      <c r="R56" s="59" t="s">
        <v>52</v>
      </c>
      <c r="S56" s="11" t="s">
        <v>1346</v>
      </c>
      <c r="T56" s="11" t="s">
        <v>1347</v>
      </c>
      <c r="U56" s="11" t="s">
        <v>1348</v>
      </c>
      <c r="V56" s="11" t="s">
        <v>1349</v>
      </c>
      <c r="W56" s="235">
        <v>18</v>
      </c>
      <c r="X56" s="618"/>
      <c r="Y56" s="235"/>
      <c r="Z56" s="11" t="s">
        <v>608</v>
      </c>
      <c r="AA56" s="59" t="s">
        <v>1345</v>
      </c>
      <c r="AB56" s="54">
        <v>10</v>
      </c>
      <c r="AC56" s="16">
        <v>31</v>
      </c>
      <c r="AD56" s="16">
        <v>2.6</v>
      </c>
      <c r="AE56" s="16" t="s">
        <v>1350</v>
      </c>
      <c r="AF56" s="19" t="s">
        <v>52</v>
      </c>
      <c r="AG56" s="19" t="s">
        <v>52</v>
      </c>
      <c r="AH56" s="19" t="s">
        <v>52</v>
      </c>
      <c r="AI56" s="611"/>
      <c r="AJ56" s="16">
        <v>31</v>
      </c>
      <c r="AK56" s="16" t="s">
        <v>1351</v>
      </c>
      <c r="AL56" s="16" t="s">
        <v>608</v>
      </c>
      <c r="AM56" s="239"/>
      <c r="AN56" s="593"/>
      <c r="AO56" s="11" t="s">
        <v>52</v>
      </c>
      <c r="AP56" s="11" t="s">
        <v>52</v>
      </c>
      <c r="AQ56" s="11" t="s">
        <v>52</v>
      </c>
      <c r="AR56" s="11" t="s">
        <v>52</v>
      </c>
      <c r="AS56" s="673"/>
      <c r="AT56" s="11" t="s">
        <v>52</v>
      </c>
      <c r="AU56" s="11" t="s">
        <v>52</v>
      </c>
      <c r="AV56" s="570"/>
      <c r="AW56" s="11" t="s">
        <v>52</v>
      </c>
      <c r="AX56" s="11" t="s">
        <v>52</v>
      </c>
      <c r="AY56" s="11" t="s">
        <v>52</v>
      </c>
      <c r="AZ56" s="11" t="s">
        <v>52</v>
      </c>
      <c r="BA56" s="11" t="s">
        <v>52</v>
      </c>
      <c r="BB56" s="11" t="s">
        <v>52</v>
      </c>
      <c r="BC56" s="11" t="s">
        <v>52</v>
      </c>
      <c r="BD56" s="11" t="s">
        <v>52</v>
      </c>
      <c r="BE56" s="11" t="s">
        <v>52</v>
      </c>
      <c r="BF56" s="11" t="s">
        <v>52</v>
      </c>
      <c r="BG56" s="11" t="s">
        <v>52</v>
      </c>
      <c r="BH56" s="11" t="s">
        <v>52</v>
      </c>
      <c r="BI56" s="11" t="s">
        <v>52</v>
      </c>
      <c r="BJ56" s="11" t="s">
        <v>52</v>
      </c>
      <c r="BK56" s="11" t="s">
        <v>52</v>
      </c>
      <c r="BL56" s="11" t="s">
        <v>52</v>
      </c>
      <c r="BM56" s="11" t="s">
        <v>52</v>
      </c>
      <c r="BN56" s="11" t="s">
        <v>52</v>
      </c>
      <c r="BO56" s="11" t="s">
        <v>52</v>
      </c>
      <c r="BP56" s="570"/>
      <c r="BQ56" s="570"/>
      <c r="BR56" s="691"/>
      <c r="BS56" s="691"/>
      <c r="BT56" s="53"/>
    </row>
    <row r="57" spans="1:72" s="8" customFormat="1" ht="15" customHeight="1">
      <c r="A57" s="651" t="s">
        <v>1882</v>
      </c>
      <c r="B57" s="588" t="s">
        <v>1137</v>
      </c>
      <c r="C57" s="653" t="s">
        <v>1139</v>
      </c>
      <c r="D57" s="588" t="s">
        <v>1322</v>
      </c>
      <c r="E57" s="588" t="s">
        <v>1352</v>
      </c>
      <c r="F57" s="54" t="s">
        <v>1062</v>
      </c>
      <c r="G57" s="621" t="s">
        <v>1266</v>
      </c>
      <c r="H57" s="621" t="s">
        <v>1353</v>
      </c>
      <c r="I57" s="658" t="s">
        <v>1888</v>
      </c>
      <c r="J57" s="235">
        <v>49</v>
      </c>
      <c r="K57" s="589">
        <v>99</v>
      </c>
      <c r="L57" s="235">
        <v>72</v>
      </c>
      <c r="M57" s="615">
        <v>71.494949494949495</v>
      </c>
      <c r="N57" s="74">
        <v>24</v>
      </c>
      <c r="O57" s="615">
        <v>55</v>
      </c>
      <c r="P57" s="246">
        <v>24</v>
      </c>
      <c r="Q57" s="59" t="s">
        <v>1354</v>
      </c>
      <c r="R57" s="59" t="s">
        <v>52</v>
      </c>
      <c r="S57" s="11" t="s">
        <v>1355</v>
      </c>
      <c r="T57" s="11" t="s">
        <v>1356</v>
      </c>
      <c r="U57" s="11" t="s">
        <v>1357</v>
      </c>
      <c r="V57" s="11" t="s">
        <v>1358</v>
      </c>
      <c r="W57" s="235">
        <v>39</v>
      </c>
      <c r="X57" s="617">
        <f>W57+W58</f>
        <v>76</v>
      </c>
      <c r="Y57" s="235"/>
      <c r="Z57" s="11" t="s">
        <v>608</v>
      </c>
      <c r="AA57" s="59" t="s">
        <v>1354</v>
      </c>
      <c r="AB57" s="54">
        <v>30</v>
      </c>
      <c r="AC57" s="16">
        <v>49</v>
      </c>
      <c r="AD57" s="16" t="s">
        <v>1359</v>
      </c>
      <c r="AE57" s="16" t="s">
        <v>1360</v>
      </c>
      <c r="AF57" s="16">
        <v>1.1100000000000001</v>
      </c>
      <c r="AG57" s="16" t="s">
        <v>1361</v>
      </c>
      <c r="AH57" s="16">
        <v>0.63360000000000005</v>
      </c>
      <c r="AI57" s="598" t="s">
        <v>1362</v>
      </c>
      <c r="AJ57" s="16">
        <v>49</v>
      </c>
      <c r="AK57" s="16" t="s">
        <v>1363</v>
      </c>
      <c r="AL57" s="16" t="s">
        <v>1364</v>
      </c>
      <c r="AM57" s="239"/>
      <c r="AN57" s="593" t="s">
        <v>1365</v>
      </c>
      <c r="AO57" s="11" t="s">
        <v>52</v>
      </c>
      <c r="AP57" s="11" t="s">
        <v>52</v>
      </c>
      <c r="AQ57" s="11" t="s">
        <v>52</v>
      </c>
      <c r="AR57" s="11" t="s">
        <v>52</v>
      </c>
      <c r="AS57" s="672" t="s">
        <v>52</v>
      </c>
      <c r="AT57" s="11" t="s">
        <v>52</v>
      </c>
      <c r="AU57" s="11" t="s">
        <v>52</v>
      </c>
      <c r="AV57" s="569" t="s">
        <v>52</v>
      </c>
      <c r="AW57" s="11" t="s">
        <v>52</v>
      </c>
      <c r="AX57" s="11" t="s">
        <v>52</v>
      </c>
      <c r="AY57" s="11" t="s">
        <v>52</v>
      </c>
      <c r="AZ57" s="11" t="s">
        <v>52</v>
      </c>
      <c r="BA57" s="11" t="s">
        <v>52</v>
      </c>
      <c r="BB57" s="11" t="s">
        <v>52</v>
      </c>
      <c r="BC57" s="11" t="s">
        <v>52</v>
      </c>
      <c r="BD57" s="11" t="s">
        <v>52</v>
      </c>
      <c r="BE57" s="11" t="s">
        <v>52</v>
      </c>
      <c r="BF57" s="11" t="s">
        <v>52</v>
      </c>
      <c r="BG57" s="11" t="s">
        <v>52</v>
      </c>
      <c r="BH57" s="11" t="s">
        <v>52</v>
      </c>
      <c r="BI57" s="11" t="s">
        <v>52</v>
      </c>
      <c r="BJ57" s="11" t="s">
        <v>52</v>
      </c>
      <c r="BK57" s="11" t="s">
        <v>52</v>
      </c>
      <c r="BL57" s="11" t="s">
        <v>52</v>
      </c>
      <c r="BM57" s="11" t="s">
        <v>52</v>
      </c>
      <c r="BN57" s="11" t="s">
        <v>52</v>
      </c>
      <c r="BO57" s="11" t="s">
        <v>52</v>
      </c>
      <c r="BP57" s="569" t="s">
        <v>52</v>
      </c>
      <c r="BQ57" s="569" t="s">
        <v>52</v>
      </c>
      <c r="BR57" s="690"/>
      <c r="BS57" s="690"/>
      <c r="BT57" s="53"/>
    </row>
    <row r="58" spans="1:72" s="8" customFormat="1" ht="15" customHeight="1">
      <c r="A58" s="652"/>
      <c r="B58" s="588"/>
      <c r="C58" s="653"/>
      <c r="D58" s="588"/>
      <c r="E58" s="588"/>
      <c r="F58" s="54" t="s">
        <v>489</v>
      </c>
      <c r="G58" s="622"/>
      <c r="H58" s="622"/>
      <c r="I58" s="659"/>
      <c r="J58" s="235">
        <v>50</v>
      </c>
      <c r="K58" s="590"/>
      <c r="L58" s="235">
        <v>71</v>
      </c>
      <c r="M58" s="616"/>
      <c r="N58" s="74">
        <v>31</v>
      </c>
      <c r="O58" s="616"/>
      <c r="P58" s="246">
        <v>31</v>
      </c>
      <c r="Q58" s="59" t="s">
        <v>1366</v>
      </c>
      <c r="R58" s="59" t="s">
        <v>52</v>
      </c>
      <c r="S58" s="11" t="s">
        <v>1367</v>
      </c>
      <c r="T58" s="11" t="s">
        <v>1368</v>
      </c>
      <c r="U58" s="11" t="s">
        <v>1369</v>
      </c>
      <c r="V58" s="11" t="s">
        <v>1370</v>
      </c>
      <c r="W58" s="235">
        <v>37</v>
      </c>
      <c r="X58" s="618"/>
      <c r="Y58" s="235"/>
      <c r="Z58" s="11" t="s">
        <v>608</v>
      </c>
      <c r="AA58" s="59" t="s">
        <v>1366</v>
      </c>
      <c r="AB58" s="54">
        <v>20</v>
      </c>
      <c r="AC58" s="16">
        <v>50</v>
      </c>
      <c r="AD58" s="16">
        <v>4.7</v>
      </c>
      <c r="AE58" s="16" t="s">
        <v>1371</v>
      </c>
      <c r="AF58" s="19" t="s">
        <v>52</v>
      </c>
      <c r="AG58" s="19" t="s">
        <v>52</v>
      </c>
      <c r="AH58" s="19" t="s">
        <v>52</v>
      </c>
      <c r="AI58" s="611"/>
      <c r="AJ58" s="16">
        <v>50</v>
      </c>
      <c r="AK58" s="16" t="s">
        <v>1372</v>
      </c>
      <c r="AL58" s="16" t="s">
        <v>1373</v>
      </c>
      <c r="AM58" s="239"/>
      <c r="AN58" s="593"/>
      <c r="AO58" s="11" t="s">
        <v>52</v>
      </c>
      <c r="AP58" s="11" t="s">
        <v>52</v>
      </c>
      <c r="AQ58" s="11" t="s">
        <v>52</v>
      </c>
      <c r="AR58" s="11" t="s">
        <v>52</v>
      </c>
      <c r="AS58" s="673"/>
      <c r="AT58" s="11" t="s">
        <v>52</v>
      </c>
      <c r="AU58" s="11" t="s">
        <v>52</v>
      </c>
      <c r="AV58" s="570"/>
      <c r="AW58" s="11" t="s">
        <v>52</v>
      </c>
      <c r="AX58" s="11" t="s">
        <v>52</v>
      </c>
      <c r="AY58" s="11" t="s">
        <v>52</v>
      </c>
      <c r="AZ58" s="11" t="s">
        <v>52</v>
      </c>
      <c r="BA58" s="11" t="s">
        <v>52</v>
      </c>
      <c r="BB58" s="11" t="s">
        <v>52</v>
      </c>
      <c r="BC58" s="11" t="s">
        <v>52</v>
      </c>
      <c r="BD58" s="11" t="s">
        <v>52</v>
      </c>
      <c r="BE58" s="11" t="s">
        <v>52</v>
      </c>
      <c r="BF58" s="11" t="s">
        <v>52</v>
      </c>
      <c r="BG58" s="11" t="s">
        <v>52</v>
      </c>
      <c r="BH58" s="11" t="s">
        <v>52</v>
      </c>
      <c r="BI58" s="11" t="s">
        <v>52</v>
      </c>
      <c r="BJ58" s="11" t="s">
        <v>52</v>
      </c>
      <c r="BK58" s="11" t="s">
        <v>52</v>
      </c>
      <c r="BL58" s="11" t="s">
        <v>52</v>
      </c>
      <c r="BM58" s="11" t="s">
        <v>52</v>
      </c>
      <c r="BN58" s="11" t="s">
        <v>52</v>
      </c>
      <c r="BO58" s="11" t="s">
        <v>52</v>
      </c>
      <c r="BP58" s="570"/>
      <c r="BQ58" s="570"/>
      <c r="BR58" s="691"/>
      <c r="BS58" s="691"/>
      <c r="BT58" s="53"/>
    </row>
    <row r="59" spans="1:72" ht="15" customHeight="1">
      <c r="A59" s="637" t="s">
        <v>1883</v>
      </c>
      <c r="B59" s="588" t="s">
        <v>26</v>
      </c>
      <c r="C59" s="635" t="s">
        <v>1325</v>
      </c>
      <c r="D59" s="588" t="s">
        <v>1330</v>
      </c>
      <c r="E59" s="588" t="s">
        <v>1374</v>
      </c>
      <c r="F59" s="11" t="s">
        <v>1343</v>
      </c>
      <c r="G59" s="588" t="s">
        <v>1375</v>
      </c>
      <c r="H59" s="588" t="s">
        <v>1376</v>
      </c>
      <c r="I59" s="612" t="s">
        <v>1377</v>
      </c>
      <c r="J59" s="235">
        <v>119</v>
      </c>
      <c r="K59" s="589">
        <v>233</v>
      </c>
      <c r="L59" s="235">
        <v>69</v>
      </c>
      <c r="M59" s="606">
        <v>69.489270386266099</v>
      </c>
      <c r="N59" s="74">
        <v>76</v>
      </c>
      <c r="O59" s="615">
        <v>149</v>
      </c>
      <c r="P59" s="246">
        <v>76</v>
      </c>
      <c r="Q59" s="55" t="s">
        <v>1378</v>
      </c>
      <c r="R59" s="11" t="s">
        <v>737</v>
      </c>
      <c r="S59" s="11" t="s">
        <v>52</v>
      </c>
      <c r="T59" s="11" t="s">
        <v>52</v>
      </c>
      <c r="U59" s="11" t="s">
        <v>52</v>
      </c>
      <c r="V59" s="11" t="s">
        <v>1379</v>
      </c>
      <c r="W59" s="235">
        <v>105</v>
      </c>
      <c r="X59" s="617">
        <f>W59+W60</f>
        <v>202</v>
      </c>
      <c r="Y59" s="235"/>
      <c r="Z59" s="11" t="s">
        <v>1380</v>
      </c>
      <c r="AA59" s="11" t="s">
        <v>1381</v>
      </c>
      <c r="AB59" s="11">
        <v>182.5</v>
      </c>
      <c r="AC59" s="16" t="s">
        <v>52</v>
      </c>
      <c r="AD59" s="16" t="s">
        <v>52</v>
      </c>
      <c r="AE59" s="16" t="s">
        <v>52</v>
      </c>
      <c r="AF59" s="16" t="s">
        <v>52</v>
      </c>
      <c r="AG59" s="16" t="s">
        <v>52</v>
      </c>
      <c r="AH59" s="16" t="s">
        <v>52</v>
      </c>
      <c r="AI59" s="594" t="s">
        <v>52</v>
      </c>
      <c r="AJ59" s="16" t="s">
        <v>52</v>
      </c>
      <c r="AK59" s="16" t="s">
        <v>52</v>
      </c>
      <c r="AL59" s="16" t="s">
        <v>52</v>
      </c>
      <c r="AM59" s="239"/>
      <c r="AN59" s="593" t="s">
        <v>52</v>
      </c>
      <c r="AO59" s="11">
        <v>119</v>
      </c>
      <c r="AP59" s="11" t="s">
        <v>52</v>
      </c>
      <c r="AQ59" s="11">
        <v>176.32</v>
      </c>
      <c r="AR59" s="11" t="s">
        <v>52</v>
      </c>
      <c r="AS59" s="614" t="s">
        <v>1382</v>
      </c>
      <c r="AT59" s="11" t="s">
        <v>52</v>
      </c>
      <c r="AU59" s="11" t="s">
        <v>52</v>
      </c>
      <c r="AV59" s="661" t="s">
        <v>52</v>
      </c>
      <c r="AW59" s="11">
        <v>114</v>
      </c>
      <c r="AX59" s="11" t="s">
        <v>52</v>
      </c>
      <c r="AY59" s="11" t="s">
        <v>1383</v>
      </c>
      <c r="AZ59" s="11" t="s">
        <v>1384</v>
      </c>
      <c r="BA59" s="11" t="s">
        <v>1385</v>
      </c>
      <c r="BB59" s="11" t="s">
        <v>52</v>
      </c>
      <c r="BC59" s="11" t="s">
        <v>1386</v>
      </c>
      <c r="BD59" s="11" t="s">
        <v>52</v>
      </c>
      <c r="BE59" s="11" t="s">
        <v>1387</v>
      </c>
      <c r="BF59" s="11" t="s">
        <v>52</v>
      </c>
      <c r="BG59" s="11" t="s">
        <v>52</v>
      </c>
      <c r="BH59" s="11" t="s">
        <v>52</v>
      </c>
      <c r="BI59" s="11" t="s">
        <v>52</v>
      </c>
      <c r="BJ59" s="11" t="s">
        <v>52</v>
      </c>
      <c r="BK59" s="11" t="s">
        <v>52</v>
      </c>
      <c r="BL59" s="11" t="s">
        <v>52</v>
      </c>
      <c r="BM59" s="11" t="s">
        <v>1388</v>
      </c>
      <c r="BN59" s="11" t="s">
        <v>52</v>
      </c>
      <c r="BO59" s="11" t="s">
        <v>52</v>
      </c>
      <c r="BP59" s="588" t="s">
        <v>13</v>
      </c>
      <c r="BQ59" s="588" t="s">
        <v>1389</v>
      </c>
      <c r="BR59" s="588" t="s">
        <v>610</v>
      </c>
      <c r="BS59" s="588" t="s">
        <v>1390</v>
      </c>
      <c r="BT59" s="56"/>
    </row>
    <row r="60" spans="1:72" ht="15" customHeight="1">
      <c r="A60" s="638"/>
      <c r="B60" s="588"/>
      <c r="C60" s="635"/>
      <c r="D60" s="588"/>
      <c r="E60" s="588"/>
      <c r="F60" s="11" t="s">
        <v>495</v>
      </c>
      <c r="G60" s="588"/>
      <c r="H60" s="588"/>
      <c r="I60" s="612"/>
      <c r="J60" s="235">
        <v>114</v>
      </c>
      <c r="K60" s="590"/>
      <c r="L60" s="235">
        <v>70</v>
      </c>
      <c r="M60" s="606"/>
      <c r="N60" s="74">
        <v>73</v>
      </c>
      <c r="O60" s="616"/>
      <c r="P60" s="246">
        <v>73</v>
      </c>
      <c r="Q60" s="55" t="s">
        <v>1391</v>
      </c>
      <c r="R60" s="11" t="s">
        <v>1392</v>
      </c>
      <c r="S60" s="11" t="s">
        <v>52</v>
      </c>
      <c r="T60" s="11" t="s">
        <v>52</v>
      </c>
      <c r="U60" s="11" t="s">
        <v>52</v>
      </c>
      <c r="V60" s="11" t="s">
        <v>1393</v>
      </c>
      <c r="W60" s="235">
        <v>97</v>
      </c>
      <c r="X60" s="618"/>
      <c r="Y60" s="235"/>
      <c r="Z60" s="11" t="s">
        <v>1394</v>
      </c>
      <c r="AA60" s="11" t="s">
        <v>1395</v>
      </c>
      <c r="AB60" s="11" t="s">
        <v>52</v>
      </c>
      <c r="AC60" s="16" t="s">
        <v>52</v>
      </c>
      <c r="AD60" s="16" t="s">
        <v>52</v>
      </c>
      <c r="AE60" s="16" t="s">
        <v>52</v>
      </c>
      <c r="AF60" s="19" t="s">
        <v>52</v>
      </c>
      <c r="AG60" s="19" t="s">
        <v>52</v>
      </c>
      <c r="AH60" s="19" t="s">
        <v>52</v>
      </c>
      <c r="AI60" s="594"/>
      <c r="AJ60" s="16" t="s">
        <v>52</v>
      </c>
      <c r="AK60" s="16" t="s">
        <v>52</v>
      </c>
      <c r="AL60" s="16" t="s">
        <v>52</v>
      </c>
      <c r="AM60" s="239"/>
      <c r="AN60" s="593"/>
      <c r="AO60" s="11">
        <v>114</v>
      </c>
      <c r="AP60" s="11" t="s">
        <v>52</v>
      </c>
      <c r="AQ60" s="11" t="s">
        <v>52</v>
      </c>
      <c r="AR60" s="11" t="s">
        <v>52</v>
      </c>
      <c r="AS60" s="614"/>
      <c r="AT60" s="11" t="s">
        <v>52</v>
      </c>
      <c r="AU60" s="11" t="s">
        <v>52</v>
      </c>
      <c r="AV60" s="661"/>
      <c r="AW60" s="11">
        <v>114</v>
      </c>
      <c r="AX60" s="11" t="s">
        <v>52</v>
      </c>
      <c r="AY60" s="11" t="s">
        <v>1396</v>
      </c>
      <c r="AZ60" s="11" t="s">
        <v>1397</v>
      </c>
      <c r="BA60" s="11" t="s">
        <v>1398</v>
      </c>
      <c r="BB60" s="11" t="s">
        <v>52</v>
      </c>
      <c r="BC60" s="11" t="s">
        <v>1399</v>
      </c>
      <c r="BD60" s="11" t="s">
        <v>52</v>
      </c>
      <c r="BE60" s="11" t="s">
        <v>1400</v>
      </c>
      <c r="BF60" s="11" t="s">
        <v>52</v>
      </c>
      <c r="BG60" s="11" t="s">
        <v>52</v>
      </c>
      <c r="BH60" s="11" t="s">
        <v>52</v>
      </c>
      <c r="BI60" s="11" t="s">
        <v>52</v>
      </c>
      <c r="BJ60" s="11" t="s">
        <v>52</v>
      </c>
      <c r="BK60" s="11" t="s">
        <v>52</v>
      </c>
      <c r="BL60" s="11" t="s">
        <v>52</v>
      </c>
      <c r="BM60" s="11" t="s">
        <v>1402</v>
      </c>
      <c r="BN60" s="11" t="s">
        <v>52</v>
      </c>
      <c r="BO60" s="11" t="s">
        <v>52</v>
      </c>
      <c r="BP60" s="588"/>
      <c r="BQ60" s="588"/>
      <c r="BR60" s="588"/>
      <c r="BS60" s="588"/>
      <c r="BT60" s="56"/>
    </row>
    <row r="61" spans="1:72" s="8" customFormat="1" ht="15" customHeight="1">
      <c r="A61" s="637" t="s">
        <v>1883</v>
      </c>
      <c r="B61" s="588" t="s">
        <v>1401</v>
      </c>
      <c r="C61" s="635" t="s">
        <v>1403</v>
      </c>
      <c r="D61" s="588" t="s">
        <v>1404</v>
      </c>
      <c r="E61" s="588" t="s">
        <v>580</v>
      </c>
      <c r="F61" s="11" t="s">
        <v>1062</v>
      </c>
      <c r="G61" s="588" t="s">
        <v>1405</v>
      </c>
      <c r="H61" s="588" t="s">
        <v>1406</v>
      </c>
      <c r="I61" s="612" t="s">
        <v>1407</v>
      </c>
      <c r="J61" s="235" t="s">
        <v>52</v>
      </c>
      <c r="K61" s="569">
        <v>204</v>
      </c>
      <c r="L61" s="183">
        <v>76</v>
      </c>
      <c r="M61" s="588">
        <v>76</v>
      </c>
      <c r="N61" s="74" t="s">
        <v>52</v>
      </c>
      <c r="O61" s="606" t="s">
        <v>52</v>
      </c>
      <c r="P61" s="246" t="s">
        <v>52</v>
      </c>
      <c r="Q61" s="55">
        <v>1</v>
      </c>
      <c r="R61" s="55" t="s">
        <v>622</v>
      </c>
      <c r="S61" s="11" t="s">
        <v>52</v>
      </c>
      <c r="T61" s="11" t="s">
        <v>52</v>
      </c>
      <c r="U61" s="11" t="s">
        <v>52</v>
      </c>
      <c r="V61" s="588" t="s">
        <v>1408</v>
      </c>
      <c r="W61" s="235" t="s">
        <v>52</v>
      </c>
      <c r="X61" s="606" t="str">
        <f>W61</f>
        <v>NR</v>
      </c>
      <c r="Y61" s="235"/>
      <c r="Z61" s="11" t="s">
        <v>52</v>
      </c>
      <c r="AA61" s="657">
        <v>0.315</v>
      </c>
      <c r="AB61" s="588">
        <v>84</v>
      </c>
      <c r="AC61" s="16" t="s">
        <v>52</v>
      </c>
      <c r="AD61" s="16">
        <v>4.8</v>
      </c>
      <c r="AE61" s="16" t="s">
        <v>52</v>
      </c>
      <c r="AF61" s="16" t="s">
        <v>52</v>
      </c>
      <c r="AG61" s="16" t="s">
        <v>52</v>
      </c>
      <c r="AH61" s="16" t="s">
        <v>52</v>
      </c>
      <c r="AI61" s="594" t="s">
        <v>1409</v>
      </c>
      <c r="AJ61" s="16" t="s">
        <v>52</v>
      </c>
      <c r="AK61" s="70">
        <v>8.5000000000000006E-2</v>
      </c>
      <c r="AL61" s="16" t="s">
        <v>52</v>
      </c>
      <c r="AM61" s="239"/>
      <c r="AN61" s="593" t="s">
        <v>1410</v>
      </c>
      <c r="AO61" s="11" t="s">
        <v>52</v>
      </c>
      <c r="AP61" s="11" t="s">
        <v>52</v>
      </c>
      <c r="AQ61" s="11" t="s">
        <v>52</v>
      </c>
      <c r="AR61" s="11" t="s">
        <v>52</v>
      </c>
      <c r="AS61" s="588" t="s">
        <v>52</v>
      </c>
      <c r="AT61" s="11" t="s">
        <v>52</v>
      </c>
      <c r="AU61" s="11" t="s">
        <v>52</v>
      </c>
      <c r="AV61" s="588" t="s">
        <v>52</v>
      </c>
      <c r="AW61" s="11" t="s">
        <v>52</v>
      </c>
      <c r="AX61" s="11" t="s">
        <v>52</v>
      </c>
      <c r="AY61" s="11" t="s">
        <v>52</v>
      </c>
      <c r="AZ61" s="11" t="s">
        <v>52</v>
      </c>
      <c r="BA61" s="11" t="s">
        <v>52</v>
      </c>
      <c r="BB61" s="11" t="s">
        <v>52</v>
      </c>
      <c r="BC61" s="11" t="s">
        <v>52</v>
      </c>
      <c r="BD61" s="11" t="s">
        <v>52</v>
      </c>
      <c r="BE61" s="11" t="s">
        <v>52</v>
      </c>
      <c r="BF61" s="11" t="s">
        <v>52</v>
      </c>
      <c r="BG61" s="11" t="s">
        <v>52</v>
      </c>
      <c r="BH61" s="11" t="s">
        <v>52</v>
      </c>
      <c r="BI61" s="11" t="s">
        <v>52</v>
      </c>
      <c r="BJ61" s="11" t="s">
        <v>52</v>
      </c>
      <c r="BK61" s="11" t="s">
        <v>52</v>
      </c>
      <c r="BL61" s="11" t="s">
        <v>52</v>
      </c>
      <c r="BM61" s="11" t="s">
        <v>52</v>
      </c>
      <c r="BN61" s="11" t="s">
        <v>52</v>
      </c>
      <c r="BO61" s="11" t="s">
        <v>52</v>
      </c>
      <c r="BP61" s="588" t="s">
        <v>52</v>
      </c>
      <c r="BQ61" s="588" t="s">
        <v>52</v>
      </c>
      <c r="BR61" s="588" t="s">
        <v>722</v>
      </c>
      <c r="BS61" s="588" t="s">
        <v>1411</v>
      </c>
      <c r="BT61" s="53"/>
    </row>
    <row r="62" spans="1:72" s="8" customFormat="1" ht="15" customHeight="1">
      <c r="A62" s="645"/>
      <c r="B62" s="588"/>
      <c r="C62" s="635"/>
      <c r="D62" s="588"/>
      <c r="E62" s="588"/>
      <c r="F62" s="11" t="s">
        <v>1412</v>
      </c>
      <c r="G62" s="588"/>
      <c r="H62" s="588"/>
      <c r="I62" s="612"/>
      <c r="J62" s="235" t="s">
        <v>52</v>
      </c>
      <c r="K62" s="620"/>
      <c r="L62" s="183">
        <v>76</v>
      </c>
      <c r="M62" s="588"/>
      <c r="N62" s="74" t="s">
        <v>52</v>
      </c>
      <c r="O62" s="606"/>
      <c r="P62" s="246" t="s">
        <v>52</v>
      </c>
      <c r="Q62" s="55">
        <v>1</v>
      </c>
      <c r="R62" s="55" t="s">
        <v>622</v>
      </c>
      <c r="S62" s="11" t="s">
        <v>52</v>
      </c>
      <c r="T62" s="11" t="s">
        <v>52</v>
      </c>
      <c r="U62" s="11" t="s">
        <v>52</v>
      </c>
      <c r="V62" s="588"/>
      <c r="W62" s="235" t="s">
        <v>52</v>
      </c>
      <c r="X62" s="606"/>
      <c r="Y62" s="235"/>
      <c r="Z62" s="11" t="s">
        <v>52</v>
      </c>
      <c r="AA62" s="657"/>
      <c r="AB62" s="588"/>
      <c r="AC62" s="16" t="s">
        <v>52</v>
      </c>
      <c r="AD62" s="16">
        <v>6.1</v>
      </c>
      <c r="AE62" s="16" t="s">
        <v>52</v>
      </c>
      <c r="AF62" s="16" t="s">
        <v>52</v>
      </c>
      <c r="AG62" s="16" t="s">
        <v>52</v>
      </c>
      <c r="AH62" s="16" t="s">
        <v>52</v>
      </c>
      <c r="AI62" s="594"/>
      <c r="AJ62" s="16" t="s">
        <v>52</v>
      </c>
      <c r="AK62" s="70">
        <v>0.17499999999999999</v>
      </c>
      <c r="AL62" s="16" t="s">
        <v>52</v>
      </c>
      <c r="AM62" s="239"/>
      <c r="AN62" s="593"/>
      <c r="AO62" s="11" t="s">
        <v>52</v>
      </c>
      <c r="AP62" s="11" t="s">
        <v>52</v>
      </c>
      <c r="AQ62" s="11" t="s">
        <v>52</v>
      </c>
      <c r="AR62" s="11" t="s">
        <v>52</v>
      </c>
      <c r="AS62" s="588"/>
      <c r="AT62" s="11" t="s">
        <v>52</v>
      </c>
      <c r="AU62" s="11" t="s">
        <v>52</v>
      </c>
      <c r="AV62" s="588"/>
      <c r="AW62" s="11" t="s">
        <v>52</v>
      </c>
      <c r="AX62" s="11" t="s">
        <v>52</v>
      </c>
      <c r="AY62" s="11" t="s">
        <v>52</v>
      </c>
      <c r="AZ62" s="11" t="s">
        <v>52</v>
      </c>
      <c r="BA62" s="11" t="s">
        <v>52</v>
      </c>
      <c r="BB62" s="11" t="s">
        <v>52</v>
      </c>
      <c r="BC62" s="11" t="s">
        <v>52</v>
      </c>
      <c r="BD62" s="11" t="s">
        <v>52</v>
      </c>
      <c r="BE62" s="11" t="s">
        <v>52</v>
      </c>
      <c r="BF62" s="11" t="s">
        <v>52</v>
      </c>
      <c r="BG62" s="11" t="s">
        <v>52</v>
      </c>
      <c r="BH62" s="11" t="s">
        <v>52</v>
      </c>
      <c r="BI62" s="11" t="s">
        <v>52</v>
      </c>
      <c r="BJ62" s="11" t="s">
        <v>52</v>
      </c>
      <c r="BK62" s="11" t="s">
        <v>52</v>
      </c>
      <c r="BL62" s="11" t="s">
        <v>52</v>
      </c>
      <c r="BM62" s="11" t="s">
        <v>52</v>
      </c>
      <c r="BN62" s="11" t="s">
        <v>52</v>
      </c>
      <c r="BO62" s="11" t="s">
        <v>52</v>
      </c>
      <c r="BP62" s="588"/>
      <c r="BQ62" s="588"/>
      <c r="BR62" s="588"/>
      <c r="BS62" s="588"/>
      <c r="BT62" s="53"/>
    </row>
    <row r="63" spans="1:72" s="8" customFormat="1" ht="15" customHeight="1">
      <c r="A63" s="645"/>
      <c r="B63" s="588"/>
      <c r="C63" s="635"/>
      <c r="D63" s="588"/>
      <c r="E63" s="588"/>
      <c r="F63" s="11" t="s">
        <v>1413</v>
      </c>
      <c r="G63" s="588"/>
      <c r="H63" s="588"/>
      <c r="I63" s="612"/>
      <c r="J63" s="235" t="s">
        <v>52</v>
      </c>
      <c r="K63" s="620"/>
      <c r="L63" s="183">
        <v>76</v>
      </c>
      <c r="M63" s="588"/>
      <c r="N63" s="74" t="s">
        <v>52</v>
      </c>
      <c r="O63" s="606"/>
      <c r="P63" s="246" t="s">
        <v>52</v>
      </c>
      <c r="Q63" s="55">
        <v>1</v>
      </c>
      <c r="R63" s="55" t="s">
        <v>622</v>
      </c>
      <c r="S63" s="11" t="s">
        <v>52</v>
      </c>
      <c r="T63" s="11" t="s">
        <v>52</v>
      </c>
      <c r="U63" s="11" t="s">
        <v>52</v>
      </c>
      <c r="V63" s="588"/>
      <c r="W63" s="235" t="s">
        <v>52</v>
      </c>
      <c r="X63" s="606"/>
      <c r="Y63" s="235"/>
      <c r="Z63" s="11" t="s">
        <v>52</v>
      </c>
      <c r="AA63" s="657"/>
      <c r="AB63" s="588"/>
      <c r="AC63" s="16" t="s">
        <v>52</v>
      </c>
      <c r="AD63" s="16">
        <v>8.4</v>
      </c>
      <c r="AE63" s="16" t="s">
        <v>52</v>
      </c>
      <c r="AF63" s="16" t="s">
        <v>52</v>
      </c>
      <c r="AG63" s="16" t="s">
        <v>52</v>
      </c>
      <c r="AH63" s="16" t="s">
        <v>52</v>
      </c>
      <c r="AI63" s="594"/>
      <c r="AJ63" s="16" t="s">
        <v>52</v>
      </c>
      <c r="AK63" s="70">
        <v>0.26100000000000001</v>
      </c>
      <c r="AL63" s="16" t="s">
        <v>52</v>
      </c>
      <c r="AM63" s="239"/>
      <c r="AN63" s="593"/>
      <c r="AO63" s="11" t="s">
        <v>52</v>
      </c>
      <c r="AP63" s="11" t="s">
        <v>52</v>
      </c>
      <c r="AQ63" s="11" t="s">
        <v>52</v>
      </c>
      <c r="AR63" s="11" t="s">
        <v>52</v>
      </c>
      <c r="AS63" s="588"/>
      <c r="AT63" s="11" t="s">
        <v>52</v>
      </c>
      <c r="AU63" s="11" t="s">
        <v>52</v>
      </c>
      <c r="AV63" s="588"/>
      <c r="AW63" s="11" t="s">
        <v>52</v>
      </c>
      <c r="AX63" s="11" t="s">
        <v>52</v>
      </c>
      <c r="AY63" s="11" t="s">
        <v>52</v>
      </c>
      <c r="AZ63" s="11" t="s">
        <v>52</v>
      </c>
      <c r="BA63" s="11" t="s">
        <v>52</v>
      </c>
      <c r="BB63" s="11" t="s">
        <v>52</v>
      </c>
      <c r="BC63" s="11" t="s">
        <v>52</v>
      </c>
      <c r="BD63" s="11" t="s">
        <v>52</v>
      </c>
      <c r="BE63" s="11" t="s">
        <v>52</v>
      </c>
      <c r="BF63" s="11" t="s">
        <v>52</v>
      </c>
      <c r="BG63" s="11" t="s">
        <v>52</v>
      </c>
      <c r="BH63" s="11" t="s">
        <v>52</v>
      </c>
      <c r="BI63" s="11" t="s">
        <v>52</v>
      </c>
      <c r="BJ63" s="11" t="s">
        <v>52</v>
      </c>
      <c r="BK63" s="11" t="s">
        <v>52</v>
      </c>
      <c r="BL63" s="11" t="s">
        <v>52</v>
      </c>
      <c r="BM63" s="11" t="s">
        <v>52</v>
      </c>
      <c r="BN63" s="11" t="s">
        <v>52</v>
      </c>
      <c r="BO63" s="11" t="s">
        <v>52</v>
      </c>
      <c r="BP63" s="588"/>
      <c r="BQ63" s="588"/>
      <c r="BR63" s="588"/>
      <c r="BS63" s="588"/>
      <c r="BT63" s="53"/>
    </row>
    <row r="64" spans="1:72" s="8" customFormat="1" ht="15" customHeight="1">
      <c r="A64" s="638"/>
      <c r="B64" s="588"/>
      <c r="C64" s="635"/>
      <c r="D64" s="588"/>
      <c r="E64" s="588"/>
      <c r="F64" s="11" t="s">
        <v>1414</v>
      </c>
      <c r="G64" s="588"/>
      <c r="H64" s="588"/>
      <c r="I64" s="612"/>
      <c r="J64" s="235" t="s">
        <v>52</v>
      </c>
      <c r="K64" s="570"/>
      <c r="L64" s="183">
        <v>76</v>
      </c>
      <c r="M64" s="588"/>
      <c r="N64" s="74" t="s">
        <v>52</v>
      </c>
      <c r="O64" s="606"/>
      <c r="P64" s="246" t="s">
        <v>52</v>
      </c>
      <c r="Q64" s="55">
        <v>1</v>
      </c>
      <c r="R64" s="55" t="s">
        <v>622</v>
      </c>
      <c r="S64" s="11" t="s">
        <v>52</v>
      </c>
      <c r="T64" s="11" t="s">
        <v>52</v>
      </c>
      <c r="U64" s="11" t="s">
        <v>52</v>
      </c>
      <c r="V64" s="588"/>
      <c r="W64" s="235" t="s">
        <v>52</v>
      </c>
      <c r="X64" s="606"/>
      <c r="Y64" s="235"/>
      <c r="Z64" s="11" t="s">
        <v>52</v>
      </c>
      <c r="AA64" s="657"/>
      <c r="AB64" s="588"/>
      <c r="AC64" s="16" t="s">
        <v>52</v>
      </c>
      <c r="AD64" s="16">
        <v>7.7</v>
      </c>
      <c r="AE64" s="16" t="s">
        <v>52</v>
      </c>
      <c r="AF64" s="19" t="s">
        <v>52</v>
      </c>
      <c r="AG64" s="19" t="s">
        <v>52</v>
      </c>
      <c r="AH64" s="19" t="s">
        <v>52</v>
      </c>
      <c r="AI64" s="594"/>
      <c r="AJ64" s="16" t="s">
        <v>52</v>
      </c>
      <c r="AK64" s="17">
        <v>0.18</v>
      </c>
      <c r="AL64" s="16" t="s">
        <v>52</v>
      </c>
      <c r="AM64" s="239"/>
      <c r="AN64" s="593"/>
      <c r="AO64" s="11" t="s">
        <v>52</v>
      </c>
      <c r="AP64" s="11" t="s">
        <v>52</v>
      </c>
      <c r="AQ64" s="11" t="s">
        <v>52</v>
      </c>
      <c r="AR64" s="11" t="s">
        <v>52</v>
      </c>
      <c r="AS64" s="588"/>
      <c r="AT64" s="11" t="s">
        <v>52</v>
      </c>
      <c r="AU64" s="11" t="s">
        <v>52</v>
      </c>
      <c r="AV64" s="588"/>
      <c r="AW64" s="11" t="s">
        <v>52</v>
      </c>
      <c r="AX64" s="11" t="s">
        <v>52</v>
      </c>
      <c r="AY64" s="11" t="s">
        <v>52</v>
      </c>
      <c r="AZ64" s="11" t="s">
        <v>52</v>
      </c>
      <c r="BA64" s="11" t="s">
        <v>52</v>
      </c>
      <c r="BB64" s="11" t="s">
        <v>52</v>
      </c>
      <c r="BC64" s="11" t="s">
        <v>52</v>
      </c>
      <c r="BD64" s="11" t="s">
        <v>52</v>
      </c>
      <c r="BE64" s="11" t="s">
        <v>52</v>
      </c>
      <c r="BF64" s="11" t="s">
        <v>52</v>
      </c>
      <c r="BG64" s="11" t="s">
        <v>52</v>
      </c>
      <c r="BH64" s="11" t="s">
        <v>52</v>
      </c>
      <c r="BI64" s="11" t="s">
        <v>52</v>
      </c>
      <c r="BJ64" s="11" t="s">
        <v>52</v>
      </c>
      <c r="BK64" s="11" t="s">
        <v>52</v>
      </c>
      <c r="BL64" s="11" t="s">
        <v>52</v>
      </c>
      <c r="BM64" s="11" t="s">
        <v>52</v>
      </c>
      <c r="BN64" s="11" t="s">
        <v>52</v>
      </c>
      <c r="BO64" s="11" t="s">
        <v>52</v>
      </c>
      <c r="BP64" s="588"/>
      <c r="BQ64" s="588"/>
      <c r="BR64" s="588"/>
      <c r="BS64" s="588"/>
      <c r="BT64" s="53"/>
    </row>
    <row r="65" spans="1:72" s="68" customFormat="1" ht="15" customHeight="1">
      <c r="A65" s="637" t="s">
        <v>1883</v>
      </c>
      <c r="B65" s="588" t="s">
        <v>1415</v>
      </c>
      <c r="C65" s="635" t="s">
        <v>1416</v>
      </c>
      <c r="D65" s="588" t="s">
        <v>52</v>
      </c>
      <c r="E65" s="588" t="s">
        <v>1417</v>
      </c>
      <c r="F65" s="11" t="s">
        <v>1418</v>
      </c>
      <c r="G65" s="588" t="s">
        <v>1419</v>
      </c>
      <c r="H65" s="588" t="s">
        <v>1420</v>
      </c>
      <c r="I65" s="612" t="s">
        <v>52</v>
      </c>
      <c r="J65" s="235" t="s">
        <v>52</v>
      </c>
      <c r="K65" s="569">
        <v>26</v>
      </c>
      <c r="L65" s="235" t="s">
        <v>52</v>
      </c>
      <c r="M65" s="588" t="s">
        <v>52</v>
      </c>
      <c r="N65" s="251">
        <v>14</v>
      </c>
      <c r="O65" s="606">
        <v>14</v>
      </c>
      <c r="P65" s="242">
        <v>14</v>
      </c>
      <c r="Q65" s="55" t="s">
        <v>52</v>
      </c>
      <c r="R65" s="55" t="s">
        <v>52</v>
      </c>
      <c r="S65" s="55" t="s">
        <v>52</v>
      </c>
      <c r="T65" s="55" t="s">
        <v>52</v>
      </c>
      <c r="U65" s="55" t="s">
        <v>52</v>
      </c>
      <c r="V65" s="55" t="s">
        <v>52</v>
      </c>
      <c r="W65" s="247" t="s">
        <v>52</v>
      </c>
      <c r="X65" s="617" t="e">
        <f>W65+W66</f>
        <v>#VALUE!</v>
      </c>
      <c r="Y65" s="247"/>
      <c r="Z65" s="55" t="s">
        <v>52</v>
      </c>
      <c r="AA65" s="55" t="s">
        <v>52</v>
      </c>
      <c r="AB65" s="55" t="s">
        <v>52</v>
      </c>
      <c r="AC65" s="16" t="s">
        <v>52</v>
      </c>
      <c r="AD65" s="16" t="s">
        <v>52</v>
      </c>
      <c r="AE65" s="16" t="s">
        <v>52</v>
      </c>
      <c r="AF65" s="16" t="s">
        <v>52</v>
      </c>
      <c r="AG65" s="16" t="s">
        <v>52</v>
      </c>
      <c r="AH65" s="16" t="s">
        <v>52</v>
      </c>
      <c r="AI65" s="594" t="s">
        <v>52</v>
      </c>
      <c r="AJ65" s="16" t="s">
        <v>52</v>
      </c>
      <c r="AK65" s="16" t="s">
        <v>52</v>
      </c>
      <c r="AL65" s="16" t="s">
        <v>52</v>
      </c>
      <c r="AM65" s="239"/>
      <c r="AN65" s="593" t="s">
        <v>52</v>
      </c>
      <c r="AO65" s="11" t="s">
        <v>52</v>
      </c>
      <c r="AP65" s="11" t="s">
        <v>52</v>
      </c>
      <c r="AQ65" s="11" t="s">
        <v>52</v>
      </c>
      <c r="AR65" s="11" t="s">
        <v>52</v>
      </c>
      <c r="AS65" s="588" t="s">
        <v>52</v>
      </c>
      <c r="AT65" s="11" t="s">
        <v>52</v>
      </c>
      <c r="AU65" s="11" t="s">
        <v>52</v>
      </c>
      <c r="AV65" s="588" t="s">
        <v>52</v>
      </c>
      <c r="AW65" s="11" t="s">
        <v>52</v>
      </c>
      <c r="AX65" s="11" t="s">
        <v>52</v>
      </c>
      <c r="AY65" s="11" t="s">
        <v>52</v>
      </c>
      <c r="AZ65" s="11" t="s">
        <v>52</v>
      </c>
      <c r="BA65" s="11" t="s">
        <v>52</v>
      </c>
      <c r="BB65" s="11" t="s">
        <v>52</v>
      </c>
      <c r="BC65" s="11" t="s">
        <v>52</v>
      </c>
      <c r="BD65" s="11" t="s">
        <v>52</v>
      </c>
      <c r="BE65" s="11" t="s">
        <v>52</v>
      </c>
      <c r="BF65" s="11" t="s">
        <v>52</v>
      </c>
      <c r="BG65" s="11" t="s">
        <v>52</v>
      </c>
      <c r="BH65" s="11" t="s">
        <v>52</v>
      </c>
      <c r="BI65" s="11" t="s">
        <v>52</v>
      </c>
      <c r="BJ65" s="11" t="s">
        <v>52</v>
      </c>
      <c r="BK65" s="11" t="s">
        <v>52</v>
      </c>
      <c r="BL65" s="11" t="s">
        <v>52</v>
      </c>
      <c r="BM65" s="55">
        <v>0.57999999999999996</v>
      </c>
      <c r="BN65" s="11" t="s">
        <v>52</v>
      </c>
      <c r="BO65" s="11" t="s">
        <v>52</v>
      </c>
      <c r="BP65" s="588" t="s">
        <v>52</v>
      </c>
      <c r="BQ65" s="588" t="s">
        <v>52</v>
      </c>
      <c r="BR65" s="588" t="s">
        <v>52</v>
      </c>
      <c r="BS65" s="588" t="s">
        <v>52</v>
      </c>
      <c r="BT65" s="69"/>
    </row>
    <row r="66" spans="1:72" s="68" customFormat="1" ht="15" customHeight="1">
      <c r="A66" s="638"/>
      <c r="B66" s="588"/>
      <c r="C66" s="635"/>
      <c r="D66" s="588"/>
      <c r="E66" s="588"/>
      <c r="F66" s="11" t="s">
        <v>1062</v>
      </c>
      <c r="G66" s="588"/>
      <c r="H66" s="588"/>
      <c r="I66" s="612"/>
      <c r="J66" s="235" t="s">
        <v>52</v>
      </c>
      <c r="K66" s="570"/>
      <c r="L66" s="235" t="s">
        <v>52</v>
      </c>
      <c r="M66" s="588"/>
      <c r="N66" s="252"/>
      <c r="O66" s="606"/>
      <c r="P66" s="243"/>
      <c r="Q66" s="55" t="s">
        <v>52</v>
      </c>
      <c r="R66" s="55" t="s">
        <v>52</v>
      </c>
      <c r="S66" s="55" t="s">
        <v>52</v>
      </c>
      <c r="T66" s="55" t="s">
        <v>52</v>
      </c>
      <c r="U66" s="55" t="s">
        <v>52</v>
      </c>
      <c r="V66" s="55" t="s">
        <v>52</v>
      </c>
      <c r="W66" s="247" t="s">
        <v>52</v>
      </c>
      <c r="X66" s="618"/>
      <c r="Y66" s="247"/>
      <c r="Z66" s="55" t="s">
        <v>52</v>
      </c>
      <c r="AA66" s="55" t="s">
        <v>52</v>
      </c>
      <c r="AB66" s="55" t="s">
        <v>52</v>
      </c>
      <c r="AC66" s="16" t="s">
        <v>52</v>
      </c>
      <c r="AD66" s="16" t="s">
        <v>52</v>
      </c>
      <c r="AE66" s="16" t="s">
        <v>52</v>
      </c>
      <c r="AF66" s="19" t="s">
        <v>52</v>
      </c>
      <c r="AG66" s="19" t="s">
        <v>52</v>
      </c>
      <c r="AH66" s="19" t="s">
        <v>52</v>
      </c>
      <c r="AI66" s="594"/>
      <c r="AJ66" s="16" t="s">
        <v>52</v>
      </c>
      <c r="AK66" s="16" t="s">
        <v>52</v>
      </c>
      <c r="AL66" s="16" t="s">
        <v>52</v>
      </c>
      <c r="AM66" s="239"/>
      <c r="AN66" s="593"/>
      <c r="AO66" s="11" t="s">
        <v>52</v>
      </c>
      <c r="AP66" s="11" t="s">
        <v>52</v>
      </c>
      <c r="AQ66" s="11" t="s">
        <v>52</v>
      </c>
      <c r="AR66" s="11" t="s">
        <v>52</v>
      </c>
      <c r="AS66" s="588"/>
      <c r="AT66" s="11" t="s">
        <v>52</v>
      </c>
      <c r="AU66" s="11" t="s">
        <v>52</v>
      </c>
      <c r="AV66" s="588"/>
      <c r="AW66" s="11" t="s">
        <v>52</v>
      </c>
      <c r="AX66" s="11" t="s">
        <v>52</v>
      </c>
      <c r="AY66" s="11" t="s">
        <v>52</v>
      </c>
      <c r="AZ66" s="11" t="s">
        <v>52</v>
      </c>
      <c r="BA66" s="11" t="s">
        <v>52</v>
      </c>
      <c r="BB66" s="11" t="s">
        <v>52</v>
      </c>
      <c r="BC66" s="11" t="s">
        <v>52</v>
      </c>
      <c r="BD66" s="11" t="s">
        <v>52</v>
      </c>
      <c r="BE66" s="11" t="s">
        <v>52</v>
      </c>
      <c r="BF66" s="11" t="s">
        <v>52</v>
      </c>
      <c r="BG66" s="11" t="s">
        <v>52</v>
      </c>
      <c r="BH66" s="11" t="s">
        <v>52</v>
      </c>
      <c r="BI66" s="11" t="s">
        <v>52</v>
      </c>
      <c r="BJ66" s="11" t="s">
        <v>52</v>
      </c>
      <c r="BK66" s="11" t="s">
        <v>52</v>
      </c>
      <c r="BL66" s="11" t="s">
        <v>52</v>
      </c>
      <c r="BM66" s="55">
        <v>0.19</v>
      </c>
      <c r="BN66" s="11" t="s">
        <v>52</v>
      </c>
      <c r="BO66" s="11" t="s">
        <v>52</v>
      </c>
      <c r="BP66" s="588"/>
      <c r="BQ66" s="588"/>
      <c r="BR66" s="588"/>
      <c r="BS66" s="588"/>
      <c r="BT66" s="69"/>
    </row>
    <row r="67" spans="1:72" s="8" customFormat="1" ht="15" customHeight="1">
      <c r="A67" s="668" t="s">
        <v>1882</v>
      </c>
      <c r="B67" s="621" t="s">
        <v>1421</v>
      </c>
      <c r="C67" s="670" t="s">
        <v>1422</v>
      </c>
      <c r="D67" s="569" t="s">
        <v>1423</v>
      </c>
      <c r="E67" s="569" t="s">
        <v>1424</v>
      </c>
      <c r="F67" s="54" t="s">
        <v>1062</v>
      </c>
      <c r="G67" s="621" t="s">
        <v>1425</v>
      </c>
      <c r="H67" s="621" t="s">
        <v>1426</v>
      </c>
      <c r="I67" s="658" t="s">
        <v>1427</v>
      </c>
      <c r="J67" s="235">
        <v>28</v>
      </c>
      <c r="K67" s="589">
        <v>71</v>
      </c>
      <c r="L67" s="235">
        <v>77</v>
      </c>
      <c r="M67" s="615">
        <v>77.605633802816897</v>
      </c>
      <c r="N67" s="74" t="s">
        <v>52</v>
      </c>
      <c r="O67" s="615" t="s">
        <v>52</v>
      </c>
      <c r="P67" s="246" t="s">
        <v>52</v>
      </c>
      <c r="Q67" s="59" t="s">
        <v>1428</v>
      </c>
      <c r="R67" s="11" t="s">
        <v>52</v>
      </c>
      <c r="S67" s="11" t="s">
        <v>52</v>
      </c>
      <c r="T67" s="11" t="s">
        <v>1429</v>
      </c>
      <c r="U67" s="11" t="s">
        <v>1430</v>
      </c>
      <c r="V67" s="11" t="s">
        <v>1431</v>
      </c>
      <c r="W67" s="235">
        <v>18</v>
      </c>
      <c r="X67" s="617">
        <f>W67+W68</f>
        <v>48</v>
      </c>
      <c r="Y67" s="235"/>
      <c r="Z67" s="11" t="s">
        <v>52</v>
      </c>
      <c r="AA67" s="11" t="s">
        <v>52</v>
      </c>
      <c r="AB67" s="54" t="s">
        <v>52</v>
      </c>
      <c r="AC67" s="16">
        <v>28</v>
      </c>
      <c r="AD67" s="16">
        <v>5.5</v>
      </c>
      <c r="AE67" s="16" t="s">
        <v>52</v>
      </c>
      <c r="AF67" s="16">
        <v>0.82399999999999995</v>
      </c>
      <c r="AG67" s="16" t="s">
        <v>1432</v>
      </c>
      <c r="AH67" s="16">
        <v>0.47</v>
      </c>
      <c r="AI67" s="598" t="s">
        <v>1433</v>
      </c>
      <c r="AJ67" s="16">
        <v>28</v>
      </c>
      <c r="AK67" s="16" t="s">
        <v>1434</v>
      </c>
      <c r="AL67" s="16" t="s">
        <v>52</v>
      </c>
      <c r="AM67" s="239"/>
      <c r="AN67" s="593" t="s">
        <v>1435</v>
      </c>
      <c r="AO67" s="11">
        <v>28</v>
      </c>
      <c r="AP67" s="11" t="s">
        <v>52</v>
      </c>
      <c r="AQ67" s="11">
        <v>10</v>
      </c>
      <c r="AR67" s="11" t="s">
        <v>52</v>
      </c>
      <c r="AS67" s="623" t="s">
        <v>1436</v>
      </c>
      <c r="AT67" s="54" t="s">
        <v>52</v>
      </c>
      <c r="AU67" s="11" t="s">
        <v>52</v>
      </c>
      <c r="AV67" s="569" t="s">
        <v>52</v>
      </c>
      <c r="AW67" s="54">
        <v>28</v>
      </c>
      <c r="AX67" s="11" t="s">
        <v>52</v>
      </c>
      <c r="AY67" s="11" t="s">
        <v>52</v>
      </c>
      <c r="AZ67" s="11" t="s">
        <v>52</v>
      </c>
      <c r="BA67" s="11" t="s">
        <v>1437</v>
      </c>
      <c r="BB67" s="11" t="s">
        <v>52</v>
      </c>
      <c r="BC67" s="11" t="s">
        <v>1438</v>
      </c>
      <c r="BD67" s="11" t="s">
        <v>52</v>
      </c>
      <c r="BE67" s="11" t="s">
        <v>1437</v>
      </c>
      <c r="BF67" s="11" t="s">
        <v>52</v>
      </c>
      <c r="BG67" s="11" t="s">
        <v>52</v>
      </c>
      <c r="BH67" s="11">
        <v>0</v>
      </c>
      <c r="BI67" s="11" t="s">
        <v>1437</v>
      </c>
      <c r="BJ67" s="11" t="s">
        <v>52</v>
      </c>
      <c r="BK67" s="11" t="s">
        <v>52</v>
      </c>
      <c r="BL67" s="11" t="s">
        <v>52</v>
      </c>
      <c r="BM67" s="11" t="s">
        <v>1439</v>
      </c>
      <c r="BN67" s="11" t="s">
        <v>52</v>
      </c>
      <c r="BO67" s="11" t="s">
        <v>52</v>
      </c>
      <c r="BP67" s="621" t="s">
        <v>52</v>
      </c>
      <c r="BQ67" s="621" t="s">
        <v>52</v>
      </c>
      <c r="BR67" s="588" t="s">
        <v>52</v>
      </c>
      <c r="BS67" s="588" t="s">
        <v>52</v>
      </c>
      <c r="BT67" s="53"/>
    </row>
    <row r="68" spans="1:72" s="8" customFormat="1" ht="15" customHeight="1">
      <c r="A68" s="669"/>
      <c r="B68" s="622"/>
      <c r="C68" s="671"/>
      <c r="D68" s="570"/>
      <c r="E68" s="570"/>
      <c r="F68" s="54" t="s">
        <v>1062</v>
      </c>
      <c r="G68" s="622"/>
      <c r="H68" s="622"/>
      <c r="I68" s="659"/>
      <c r="J68" s="235">
        <v>43</v>
      </c>
      <c r="K68" s="590"/>
      <c r="L68" s="235">
        <v>78</v>
      </c>
      <c r="M68" s="616"/>
      <c r="N68" s="74" t="s">
        <v>52</v>
      </c>
      <c r="O68" s="616"/>
      <c r="P68" s="246" t="s">
        <v>52</v>
      </c>
      <c r="Q68" s="59" t="s">
        <v>1440</v>
      </c>
      <c r="R68" s="11" t="s">
        <v>52</v>
      </c>
      <c r="S68" s="11" t="s">
        <v>52</v>
      </c>
      <c r="T68" s="11" t="s">
        <v>1441</v>
      </c>
      <c r="U68" s="11" t="s">
        <v>1442</v>
      </c>
      <c r="V68" s="11" t="s">
        <v>1443</v>
      </c>
      <c r="W68" s="235">
        <v>30</v>
      </c>
      <c r="X68" s="618"/>
      <c r="Y68" s="235"/>
      <c r="Z68" s="11" t="s">
        <v>52</v>
      </c>
      <c r="AA68" s="11" t="s">
        <v>52</v>
      </c>
      <c r="AB68" s="54" t="s">
        <v>52</v>
      </c>
      <c r="AC68" s="16">
        <v>43</v>
      </c>
      <c r="AD68" s="16" t="s">
        <v>1444</v>
      </c>
      <c r="AE68" s="16" t="s">
        <v>52</v>
      </c>
      <c r="AF68" s="19" t="s">
        <v>52</v>
      </c>
      <c r="AG68" s="19" t="s">
        <v>52</v>
      </c>
      <c r="AH68" s="19" t="s">
        <v>52</v>
      </c>
      <c r="AI68" s="611"/>
      <c r="AJ68" s="16">
        <v>43</v>
      </c>
      <c r="AK68" s="16" t="s">
        <v>1445</v>
      </c>
      <c r="AL68" s="16" t="s">
        <v>52</v>
      </c>
      <c r="AM68" s="239"/>
      <c r="AN68" s="593"/>
      <c r="AO68" s="11">
        <v>43</v>
      </c>
      <c r="AP68" s="11" t="s">
        <v>52</v>
      </c>
      <c r="AQ68" s="11">
        <v>20</v>
      </c>
      <c r="AR68" s="11" t="s">
        <v>52</v>
      </c>
      <c r="AS68" s="624"/>
      <c r="AT68" s="54" t="s">
        <v>52</v>
      </c>
      <c r="AU68" s="11" t="s">
        <v>52</v>
      </c>
      <c r="AV68" s="570"/>
      <c r="AW68" s="54">
        <v>43</v>
      </c>
      <c r="AX68" s="11" t="s">
        <v>52</v>
      </c>
      <c r="AY68" s="11" t="s">
        <v>52</v>
      </c>
      <c r="AZ68" s="11" t="s">
        <v>52</v>
      </c>
      <c r="BA68" s="11">
        <v>0</v>
      </c>
      <c r="BB68" s="11" t="s">
        <v>52</v>
      </c>
      <c r="BC68" s="11" t="s">
        <v>1446</v>
      </c>
      <c r="BD68" s="11" t="s">
        <v>52</v>
      </c>
      <c r="BE68" s="11">
        <v>0</v>
      </c>
      <c r="BF68" s="11" t="s">
        <v>52</v>
      </c>
      <c r="BG68" s="11" t="s">
        <v>52</v>
      </c>
      <c r="BH68" s="11" t="s">
        <v>720</v>
      </c>
      <c r="BI68" s="11" t="s">
        <v>720</v>
      </c>
      <c r="BJ68" s="11" t="s">
        <v>52</v>
      </c>
      <c r="BK68" s="11" t="s">
        <v>52</v>
      </c>
      <c r="BL68" s="11" t="s">
        <v>52</v>
      </c>
      <c r="BM68" s="11" t="s">
        <v>1447</v>
      </c>
      <c r="BN68" s="11" t="s">
        <v>52</v>
      </c>
      <c r="BO68" s="11" t="s">
        <v>52</v>
      </c>
      <c r="BP68" s="622"/>
      <c r="BQ68" s="622"/>
      <c r="BR68" s="588"/>
      <c r="BS68" s="588"/>
      <c r="BT68" s="53"/>
    </row>
    <row r="69" spans="1:72" s="8" customFormat="1" ht="15" customHeight="1">
      <c r="A69" s="637" t="s">
        <v>1882</v>
      </c>
      <c r="B69" s="649" t="s">
        <v>1448</v>
      </c>
      <c r="C69" s="660" t="s">
        <v>1449</v>
      </c>
      <c r="D69" s="661" t="s">
        <v>1450</v>
      </c>
      <c r="E69" s="661" t="s">
        <v>1205</v>
      </c>
      <c r="F69" s="11" t="s">
        <v>1451</v>
      </c>
      <c r="G69" s="11" t="s">
        <v>1970</v>
      </c>
      <c r="H69" s="588" t="s">
        <v>1452</v>
      </c>
      <c r="I69" s="612" t="s">
        <v>1453</v>
      </c>
      <c r="J69" s="235">
        <v>81</v>
      </c>
      <c r="K69" s="623">
        <v>163</v>
      </c>
      <c r="L69" s="235">
        <v>72.900000000000006</v>
      </c>
      <c r="M69" s="664">
        <v>72.648466257668716</v>
      </c>
      <c r="N69" s="270">
        <f>J69*0.765</f>
        <v>61.965000000000003</v>
      </c>
      <c r="O69" s="615">
        <v>112.96899999999999</v>
      </c>
      <c r="P69" s="279">
        <v>0.76500000000000001</v>
      </c>
      <c r="Q69" s="11" t="s">
        <v>886</v>
      </c>
      <c r="R69" s="65" t="s">
        <v>1454</v>
      </c>
      <c r="S69" s="11" t="s">
        <v>1455</v>
      </c>
      <c r="T69" s="11" t="s">
        <v>52</v>
      </c>
      <c r="U69" s="11" t="s">
        <v>52</v>
      </c>
      <c r="V69" s="11" t="s">
        <v>1456</v>
      </c>
      <c r="W69" s="235">
        <v>59</v>
      </c>
      <c r="X69" s="617">
        <f>W69+W70</f>
        <v>122</v>
      </c>
      <c r="Y69" s="235"/>
      <c r="Z69" s="11" t="s">
        <v>52</v>
      </c>
      <c r="AA69" s="11" t="s">
        <v>52</v>
      </c>
      <c r="AB69" s="666">
        <v>124.70833333333333</v>
      </c>
      <c r="AC69" s="43">
        <v>81</v>
      </c>
      <c r="AD69" s="43">
        <v>8.9</v>
      </c>
      <c r="AE69" s="43" t="s">
        <v>1457</v>
      </c>
      <c r="AF69" s="16">
        <v>1.17</v>
      </c>
      <c r="AG69" s="16" t="s">
        <v>1458</v>
      </c>
      <c r="AH69" s="16" t="s">
        <v>52</v>
      </c>
      <c r="AI69" s="598" t="s">
        <v>1459</v>
      </c>
      <c r="AJ69" s="58">
        <v>81</v>
      </c>
      <c r="AK69" s="17" t="s">
        <v>1460</v>
      </c>
      <c r="AL69" s="17" t="s">
        <v>52</v>
      </c>
      <c r="AM69" s="17"/>
      <c r="AN69" s="17" t="s">
        <v>52</v>
      </c>
      <c r="AO69" s="11">
        <v>81</v>
      </c>
      <c r="AP69" s="11" t="s">
        <v>52</v>
      </c>
      <c r="AQ69" s="67" t="s">
        <v>1461</v>
      </c>
      <c r="AR69" s="11" t="s">
        <v>1462</v>
      </c>
      <c r="AS69" s="569" t="s">
        <v>1463</v>
      </c>
      <c r="AT69" s="11" t="s">
        <v>52</v>
      </c>
      <c r="AU69" s="11" t="s">
        <v>52</v>
      </c>
      <c r="AV69" s="11" t="s">
        <v>52</v>
      </c>
      <c r="AW69" s="11">
        <v>80</v>
      </c>
      <c r="AX69" s="11" t="s">
        <v>52</v>
      </c>
      <c r="AY69" s="55" t="s">
        <v>1464</v>
      </c>
      <c r="AZ69" s="11" t="s">
        <v>52</v>
      </c>
      <c r="BA69" s="11" t="s">
        <v>52</v>
      </c>
      <c r="BB69" s="11" t="s">
        <v>52</v>
      </c>
      <c r="BC69" s="66" t="s">
        <v>1465</v>
      </c>
      <c r="BD69" s="11" t="s">
        <v>52</v>
      </c>
      <c r="BE69" s="11" t="s">
        <v>52</v>
      </c>
      <c r="BF69" s="11" t="s">
        <v>52</v>
      </c>
      <c r="BG69" s="11" t="s">
        <v>52</v>
      </c>
      <c r="BH69" s="11" t="s">
        <v>52</v>
      </c>
      <c r="BI69" s="11" t="s">
        <v>52</v>
      </c>
      <c r="BJ69" s="65" t="s">
        <v>1466</v>
      </c>
      <c r="BK69" s="11" t="s">
        <v>52</v>
      </c>
      <c r="BL69" s="11" t="s">
        <v>52</v>
      </c>
      <c r="BM69" s="66" t="s">
        <v>1467</v>
      </c>
      <c r="BN69" s="11" t="s">
        <v>52</v>
      </c>
      <c r="BO69" s="65" t="s">
        <v>1468</v>
      </c>
      <c r="BP69" s="569" t="s">
        <v>52</v>
      </c>
      <c r="BQ69" s="569" t="s">
        <v>52</v>
      </c>
      <c r="BR69" s="569" t="s">
        <v>722</v>
      </c>
      <c r="BS69" s="569" t="s">
        <v>1887</v>
      </c>
      <c r="BT69" s="50"/>
    </row>
    <row r="70" spans="1:72" s="8" customFormat="1" ht="15" customHeight="1">
      <c r="A70" s="638"/>
      <c r="B70" s="649"/>
      <c r="C70" s="660"/>
      <c r="D70" s="661"/>
      <c r="E70" s="661"/>
      <c r="F70" s="11" t="s">
        <v>1062</v>
      </c>
      <c r="G70" s="11"/>
      <c r="H70" s="588"/>
      <c r="I70" s="612"/>
      <c r="J70" s="235">
        <v>82</v>
      </c>
      <c r="K70" s="624"/>
      <c r="L70" s="235">
        <v>72.400000000000006</v>
      </c>
      <c r="M70" s="665"/>
      <c r="N70" s="270">
        <f>J70*0.765</f>
        <v>62.730000000000004</v>
      </c>
      <c r="O70" s="616"/>
      <c r="P70" s="279">
        <v>0.622</v>
      </c>
      <c r="Q70" s="11" t="s">
        <v>1469</v>
      </c>
      <c r="R70" s="65" t="s">
        <v>1470</v>
      </c>
      <c r="S70" s="11" t="s">
        <v>1471</v>
      </c>
      <c r="T70" s="11" t="s">
        <v>52</v>
      </c>
      <c r="U70" s="11" t="s">
        <v>52</v>
      </c>
      <c r="V70" s="11" t="s">
        <v>1472</v>
      </c>
      <c r="W70" s="235">
        <v>63</v>
      </c>
      <c r="X70" s="618"/>
      <c r="Y70" s="235"/>
      <c r="Z70" s="11" t="s">
        <v>52</v>
      </c>
      <c r="AA70" s="11" t="s">
        <v>52</v>
      </c>
      <c r="AB70" s="667"/>
      <c r="AC70" s="43">
        <v>82</v>
      </c>
      <c r="AD70" s="43">
        <v>9.3000000000000007</v>
      </c>
      <c r="AE70" s="43" t="s">
        <v>1473</v>
      </c>
      <c r="AF70" s="19" t="s">
        <v>52</v>
      </c>
      <c r="AG70" s="19" t="s">
        <v>52</v>
      </c>
      <c r="AH70" s="19" t="s">
        <v>52</v>
      </c>
      <c r="AI70" s="599"/>
      <c r="AJ70" s="58">
        <v>82</v>
      </c>
      <c r="AK70" s="17" t="s">
        <v>1474</v>
      </c>
      <c r="AL70" s="17" t="s">
        <v>52</v>
      </c>
      <c r="AM70" s="17"/>
      <c r="AN70" s="17" t="s">
        <v>52</v>
      </c>
      <c r="AO70" s="11">
        <v>82</v>
      </c>
      <c r="AP70" s="11" t="s">
        <v>52</v>
      </c>
      <c r="AQ70" s="11">
        <v>109.5</v>
      </c>
      <c r="AR70" s="11" t="s">
        <v>1475</v>
      </c>
      <c r="AS70" s="570"/>
      <c r="AT70" s="11" t="s">
        <v>52</v>
      </c>
      <c r="AU70" s="11" t="s">
        <v>52</v>
      </c>
      <c r="AV70" s="11" t="s">
        <v>52</v>
      </c>
      <c r="AW70" s="11">
        <v>81</v>
      </c>
      <c r="AX70" s="11" t="s">
        <v>52</v>
      </c>
      <c r="AY70" s="55" t="s">
        <v>886</v>
      </c>
      <c r="AZ70" s="11" t="s">
        <v>52</v>
      </c>
      <c r="BA70" s="11" t="s">
        <v>52</v>
      </c>
      <c r="BB70" s="11" t="s">
        <v>52</v>
      </c>
      <c r="BC70" s="65" t="s">
        <v>1476</v>
      </c>
      <c r="BD70" s="11" t="s">
        <v>52</v>
      </c>
      <c r="BE70" s="11" t="s">
        <v>52</v>
      </c>
      <c r="BF70" s="11" t="s">
        <v>52</v>
      </c>
      <c r="BG70" s="11" t="s">
        <v>52</v>
      </c>
      <c r="BH70" s="11" t="s">
        <v>52</v>
      </c>
      <c r="BI70" s="11" t="s">
        <v>52</v>
      </c>
      <c r="BJ70" s="65" t="s">
        <v>1477</v>
      </c>
      <c r="BK70" s="11" t="s">
        <v>52</v>
      </c>
      <c r="BL70" s="11" t="s">
        <v>52</v>
      </c>
      <c r="BM70" s="65" t="s">
        <v>1478</v>
      </c>
      <c r="BN70" s="11" t="s">
        <v>52</v>
      </c>
      <c r="BO70" s="65" t="s">
        <v>1479</v>
      </c>
      <c r="BP70" s="570"/>
      <c r="BQ70" s="570"/>
      <c r="BR70" s="570"/>
      <c r="BS70" s="570"/>
      <c r="BT70" s="50"/>
    </row>
    <row r="71" spans="1:72" s="8" customFormat="1" ht="15" customHeight="1">
      <c r="A71" s="637" t="s">
        <v>1883</v>
      </c>
      <c r="B71" s="588" t="s">
        <v>1480</v>
      </c>
      <c r="C71" s="635" t="s">
        <v>1481</v>
      </c>
      <c r="D71" s="588" t="s">
        <v>52</v>
      </c>
      <c r="E71" s="588" t="s">
        <v>1482</v>
      </c>
      <c r="F71" s="22" t="s">
        <v>1483</v>
      </c>
      <c r="G71" s="604" t="s">
        <v>1484</v>
      </c>
      <c r="H71" s="588" t="s">
        <v>1485</v>
      </c>
      <c r="I71" s="612" t="s">
        <v>52</v>
      </c>
      <c r="J71" s="235" t="s">
        <v>52</v>
      </c>
      <c r="K71" s="569" t="s">
        <v>52</v>
      </c>
      <c r="L71" s="235" t="s">
        <v>52</v>
      </c>
      <c r="M71" s="588" t="s">
        <v>52</v>
      </c>
      <c r="N71" s="74" t="s">
        <v>52</v>
      </c>
      <c r="O71" s="606" t="s">
        <v>52</v>
      </c>
      <c r="P71" s="246" t="s">
        <v>52</v>
      </c>
      <c r="Q71" s="55">
        <v>1</v>
      </c>
      <c r="R71" s="55" t="s">
        <v>622</v>
      </c>
      <c r="S71" s="11" t="s">
        <v>52</v>
      </c>
      <c r="T71" s="11" t="s">
        <v>52</v>
      </c>
      <c r="U71" s="11" t="s">
        <v>52</v>
      </c>
      <c r="V71" s="11" t="s">
        <v>52</v>
      </c>
      <c r="W71" s="235" t="s">
        <v>52</v>
      </c>
      <c r="X71" s="617" t="e">
        <f>W71+W72</f>
        <v>#VALUE!</v>
      </c>
      <c r="Y71" s="235"/>
      <c r="Z71" s="11" t="s">
        <v>52</v>
      </c>
      <c r="AA71" s="11" t="s">
        <v>52</v>
      </c>
      <c r="AB71" s="11" t="s">
        <v>52</v>
      </c>
      <c r="AC71" s="16" t="s">
        <v>52</v>
      </c>
      <c r="AD71" s="16">
        <v>14.3</v>
      </c>
      <c r="AE71" s="16" t="s">
        <v>52</v>
      </c>
      <c r="AF71" s="16" t="s">
        <v>52</v>
      </c>
      <c r="AG71" s="16" t="s">
        <v>52</v>
      </c>
      <c r="AH71" s="16" t="s">
        <v>52</v>
      </c>
      <c r="AI71" s="594" t="s">
        <v>1486</v>
      </c>
      <c r="AJ71" s="16" t="s">
        <v>52</v>
      </c>
      <c r="AK71" s="16" t="s">
        <v>1487</v>
      </c>
      <c r="AL71" s="64">
        <v>0.55100000000000005</v>
      </c>
      <c r="AM71" s="64"/>
      <c r="AN71" s="593" t="s">
        <v>1488</v>
      </c>
      <c r="AO71" s="11" t="s">
        <v>52</v>
      </c>
      <c r="AP71" s="11" t="s">
        <v>52</v>
      </c>
      <c r="AQ71" s="11" t="s">
        <v>52</v>
      </c>
      <c r="AR71" s="11" t="s">
        <v>52</v>
      </c>
      <c r="AS71" s="588" t="s">
        <v>52</v>
      </c>
      <c r="AT71" s="11" t="s">
        <v>52</v>
      </c>
      <c r="AU71" s="11" t="s">
        <v>52</v>
      </c>
      <c r="AV71" s="588" t="s">
        <v>52</v>
      </c>
      <c r="AW71" s="11" t="s">
        <v>52</v>
      </c>
      <c r="AX71" s="11" t="s">
        <v>52</v>
      </c>
      <c r="AY71" s="11" t="s">
        <v>52</v>
      </c>
      <c r="AZ71" s="11" t="s">
        <v>52</v>
      </c>
      <c r="BA71" s="11" t="s">
        <v>52</v>
      </c>
      <c r="BB71" s="11" t="s">
        <v>52</v>
      </c>
      <c r="BC71" s="11" t="s">
        <v>52</v>
      </c>
      <c r="BD71" s="11" t="s">
        <v>52</v>
      </c>
      <c r="BE71" s="11" t="s">
        <v>52</v>
      </c>
      <c r="BF71" s="11" t="s">
        <v>52</v>
      </c>
      <c r="BG71" s="11" t="s">
        <v>52</v>
      </c>
      <c r="BH71" s="11" t="s">
        <v>52</v>
      </c>
      <c r="BI71" s="11" t="s">
        <v>52</v>
      </c>
      <c r="BJ71" s="11" t="s">
        <v>52</v>
      </c>
      <c r="BK71" s="11" t="s">
        <v>52</v>
      </c>
      <c r="BL71" s="11" t="s">
        <v>52</v>
      </c>
      <c r="BM71" s="11" t="s">
        <v>52</v>
      </c>
      <c r="BN71" s="11" t="s">
        <v>52</v>
      </c>
      <c r="BO71" s="11" t="s">
        <v>52</v>
      </c>
      <c r="BP71" s="588" t="s">
        <v>52</v>
      </c>
      <c r="BQ71" s="588" t="s">
        <v>52</v>
      </c>
      <c r="BR71" s="588" t="s">
        <v>52</v>
      </c>
      <c r="BS71" s="588" t="s">
        <v>52</v>
      </c>
      <c r="BT71" s="53"/>
    </row>
    <row r="72" spans="1:72" s="8" customFormat="1" ht="15" customHeight="1">
      <c r="A72" s="638"/>
      <c r="B72" s="588"/>
      <c r="C72" s="635"/>
      <c r="D72" s="588"/>
      <c r="E72" s="588"/>
      <c r="F72" s="11" t="s">
        <v>1489</v>
      </c>
      <c r="G72" s="604"/>
      <c r="H72" s="588"/>
      <c r="I72" s="612"/>
      <c r="J72" s="235" t="s">
        <v>52</v>
      </c>
      <c r="K72" s="570"/>
      <c r="L72" s="235" t="s">
        <v>52</v>
      </c>
      <c r="M72" s="588"/>
      <c r="N72" s="74" t="s">
        <v>52</v>
      </c>
      <c r="O72" s="606"/>
      <c r="P72" s="246" t="s">
        <v>52</v>
      </c>
      <c r="Q72" s="55">
        <v>1</v>
      </c>
      <c r="R72" s="55" t="s">
        <v>622</v>
      </c>
      <c r="S72" s="11" t="s">
        <v>52</v>
      </c>
      <c r="T72" s="11" t="s">
        <v>52</v>
      </c>
      <c r="U72" s="11" t="s">
        <v>52</v>
      </c>
      <c r="V72" s="11" t="s">
        <v>52</v>
      </c>
      <c r="W72" s="235" t="s">
        <v>52</v>
      </c>
      <c r="X72" s="618"/>
      <c r="Y72" s="235"/>
      <c r="Z72" s="11" t="s">
        <v>52</v>
      </c>
      <c r="AA72" s="11" t="s">
        <v>52</v>
      </c>
      <c r="AB72" s="11" t="s">
        <v>52</v>
      </c>
      <c r="AC72" s="16" t="s">
        <v>52</v>
      </c>
      <c r="AD72" s="16">
        <v>10.3</v>
      </c>
      <c r="AE72" s="16" t="s">
        <v>52</v>
      </c>
      <c r="AF72" s="19" t="s">
        <v>52</v>
      </c>
      <c r="AG72" s="19" t="s">
        <v>52</v>
      </c>
      <c r="AH72" s="19" t="s">
        <v>52</v>
      </c>
      <c r="AI72" s="594"/>
      <c r="AJ72" s="16" t="s">
        <v>52</v>
      </c>
      <c r="AK72" s="16" t="s">
        <v>1490</v>
      </c>
      <c r="AL72" s="64">
        <v>0.48899999999999999</v>
      </c>
      <c r="AM72" s="64"/>
      <c r="AN72" s="593"/>
      <c r="AO72" s="11" t="s">
        <v>52</v>
      </c>
      <c r="AP72" s="11" t="s">
        <v>52</v>
      </c>
      <c r="AQ72" s="11" t="s">
        <v>52</v>
      </c>
      <c r="AR72" s="11" t="s">
        <v>52</v>
      </c>
      <c r="AS72" s="588"/>
      <c r="AT72" s="11" t="s">
        <v>52</v>
      </c>
      <c r="AU72" s="11" t="s">
        <v>52</v>
      </c>
      <c r="AV72" s="588"/>
      <c r="AW72" s="11" t="s">
        <v>52</v>
      </c>
      <c r="AX72" s="11" t="s">
        <v>52</v>
      </c>
      <c r="AY72" s="11" t="s">
        <v>52</v>
      </c>
      <c r="AZ72" s="11" t="s">
        <v>52</v>
      </c>
      <c r="BA72" s="11" t="s">
        <v>52</v>
      </c>
      <c r="BB72" s="11" t="s">
        <v>52</v>
      </c>
      <c r="BC72" s="11" t="s">
        <v>52</v>
      </c>
      <c r="BD72" s="11" t="s">
        <v>52</v>
      </c>
      <c r="BE72" s="11" t="s">
        <v>52</v>
      </c>
      <c r="BF72" s="11" t="s">
        <v>52</v>
      </c>
      <c r="BG72" s="11" t="s">
        <v>52</v>
      </c>
      <c r="BH72" s="11" t="s">
        <v>52</v>
      </c>
      <c r="BI72" s="11" t="s">
        <v>52</v>
      </c>
      <c r="BJ72" s="11" t="s">
        <v>52</v>
      </c>
      <c r="BK72" s="11" t="s">
        <v>52</v>
      </c>
      <c r="BL72" s="11" t="s">
        <v>52</v>
      </c>
      <c r="BM72" s="11" t="s">
        <v>52</v>
      </c>
      <c r="BN72" s="11" t="s">
        <v>52</v>
      </c>
      <c r="BO72" s="11" t="s">
        <v>52</v>
      </c>
      <c r="BP72" s="588"/>
      <c r="BQ72" s="588"/>
      <c r="BR72" s="588"/>
      <c r="BS72" s="588"/>
      <c r="BT72" s="53"/>
    </row>
    <row r="73" spans="1:72" s="8" customFormat="1" ht="15" customHeight="1">
      <c r="A73" s="637" t="s">
        <v>1883</v>
      </c>
      <c r="B73" s="588" t="s">
        <v>1491</v>
      </c>
      <c r="C73" s="650" t="s">
        <v>1492</v>
      </c>
      <c r="D73" s="588" t="s">
        <v>1493</v>
      </c>
      <c r="E73" s="588" t="s">
        <v>1494</v>
      </c>
      <c r="F73" s="11" t="s">
        <v>1495</v>
      </c>
      <c r="G73" s="588" t="s">
        <v>1496</v>
      </c>
      <c r="H73" s="588" t="s">
        <v>1497</v>
      </c>
      <c r="I73" s="612" t="s">
        <v>1498</v>
      </c>
      <c r="J73" s="238">
        <v>51</v>
      </c>
      <c r="K73" s="589">
        <v>77</v>
      </c>
      <c r="L73" s="235">
        <v>76</v>
      </c>
      <c r="M73" s="588">
        <v>76</v>
      </c>
      <c r="N73" s="74">
        <v>0.52900000000000003</v>
      </c>
      <c r="O73" s="615">
        <v>44.971000000000004</v>
      </c>
      <c r="P73" s="246">
        <v>27</v>
      </c>
      <c r="Q73" s="59" t="s">
        <v>1499</v>
      </c>
      <c r="R73" s="59" t="s">
        <v>622</v>
      </c>
      <c r="S73" s="11" t="s">
        <v>1500</v>
      </c>
      <c r="T73" s="11" t="s">
        <v>52</v>
      </c>
      <c r="U73" s="11" t="s">
        <v>52</v>
      </c>
      <c r="V73" s="54" t="s">
        <v>1501</v>
      </c>
      <c r="W73" s="238">
        <v>36</v>
      </c>
      <c r="X73" s="617">
        <f>W73+W74</f>
        <v>54</v>
      </c>
      <c r="Y73" s="238"/>
      <c r="Z73" s="11" t="s">
        <v>1502</v>
      </c>
      <c r="AA73" s="11" t="s">
        <v>1503</v>
      </c>
      <c r="AB73" s="11" t="s">
        <v>52</v>
      </c>
      <c r="AC73" s="16">
        <v>48</v>
      </c>
      <c r="AD73" s="16">
        <v>8.1999999999999993</v>
      </c>
      <c r="AE73" s="16" t="s">
        <v>52</v>
      </c>
      <c r="AF73" s="16">
        <v>0.88</v>
      </c>
      <c r="AG73" s="16" t="s">
        <v>1504</v>
      </c>
      <c r="AH73" s="16">
        <v>0.66300000000000003</v>
      </c>
      <c r="AI73" s="594" t="s">
        <v>1505</v>
      </c>
      <c r="AJ73" s="16">
        <v>48</v>
      </c>
      <c r="AK73" s="16" t="s">
        <v>1506</v>
      </c>
      <c r="AL73" s="16" t="s">
        <v>1507</v>
      </c>
      <c r="AM73" s="239"/>
      <c r="AN73" s="593" t="s">
        <v>1508</v>
      </c>
      <c r="AO73" s="11">
        <v>51</v>
      </c>
      <c r="AP73" s="11" t="s">
        <v>52</v>
      </c>
      <c r="AQ73" s="54">
        <v>59</v>
      </c>
      <c r="AR73" s="54" t="s">
        <v>1509</v>
      </c>
      <c r="AS73" s="614" t="s">
        <v>1510</v>
      </c>
      <c r="AT73" s="11" t="s">
        <v>52</v>
      </c>
      <c r="AU73" s="11" t="s">
        <v>52</v>
      </c>
      <c r="AV73" s="588" t="s">
        <v>52</v>
      </c>
      <c r="AW73" s="11">
        <v>48</v>
      </c>
      <c r="AX73" s="11" t="s">
        <v>1511</v>
      </c>
      <c r="AY73" s="11" t="s">
        <v>1512</v>
      </c>
      <c r="AZ73" s="11" t="s">
        <v>1511</v>
      </c>
      <c r="BA73" s="11" t="s">
        <v>1513</v>
      </c>
      <c r="BB73" s="11" t="s">
        <v>608</v>
      </c>
      <c r="BC73" s="11" t="s">
        <v>608</v>
      </c>
      <c r="BD73" s="11" t="s">
        <v>1511</v>
      </c>
      <c r="BE73" s="11" t="s">
        <v>1514</v>
      </c>
      <c r="BF73" s="11" t="s">
        <v>608</v>
      </c>
      <c r="BG73" s="11" t="s">
        <v>1515</v>
      </c>
      <c r="BH73" s="11" t="s">
        <v>608</v>
      </c>
      <c r="BI73" s="54" t="s">
        <v>52</v>
      </c>
      <c r="BJ73" s="11" t="s">
        <v>1513</v>
      </c>
      <c r="BK73" s="11" t="s">
        <v>608</v>
      </c>
      <c r="BL73" s="54" t="s">
        <v>52</v>
      </c>
      <c r="BM73" s="54" t="s">
        <v>1516</v>
      </c>
      <c r="BN73" s="11" t="s">
        <v>1517</v>
      </c>
      <c r="BO73" s="11" t="s">
        <v>608</v>
      </c>
      <c r="BP73" s="588" t="s">
        <v>52</v>
      </c>
      <c r="BQ73" s="588" t="s">
        <v>52</v>
      </c>
      <c r="BR73" s="588" t="s">
        <v>52</v>
      </c>
      <c r="BS73" s="588" t="s">
        <v>52</v>
      </c>
      <c r="BT73" s="53"/>
    </row>
    <row r="74" spans="1:72" s="8" customFormat="1" ht="15" customHeight="1">
      <c r="A74" s="638"/>
      <c r="B74" s="588"/>
      <c r="C74" s="650"/>
      <c r="D74" s="588"/>
      <c r="E74" s="588"/>
      <c r="F74" s="11" t="s">
        <v>492</v>
      </c>
      <c r="G74" s="588"/>
      <c r="H74" s="588"/>
      <c r="I74" s="612"/>
      <c r="J74" s="238">
        <v>26</v>
      </c>
      <c r="K74" s="590"/>
      <c r="L74" s="235">
        <v>72.5</v>
      </c>
      <c r="M74" s="588"/>
      <c r="N74" s="74">
        <v>0.69199999999999995</v>
      </c>
      <c r="O74" s="616"/>
      <c r="P74" s="246">
        <v>18</v>
      </c>
      <c r="Q74" s="59" t="s">
        <v>1248</v>
      </c>
      <c r="R74" s="59" t="s">
        <v>622</v>
      </c>
      <c r="S74" s="11" t="s">
        <v>1519</v>
      </c>
      <c r="T74" s="11" t="s">
        <v>52</v>
      </c>
      <c r="U74" s="11" t="s">
        <v>52</v>
      </c>
      <c r="V74" s="54" t="s">
        <v>1518</v>
      </c>
      <c r="W74" s="238">
        <v>18</v>
      </c>
      <c r="X74" s="618"/>
      <c r="Y74" s="238"/>
      <c r="Z74" s="11" t="s">
        <v>1520</v>
      </c>
      <c r="AA74" s="54" t="s">
        <v>1521</v>
      </c>
      <c r="AB74" s="11" t="s">
        <v>52</v>
      </c>
      <c r="AC74" s="16">
        <v>26</v>
      </c>
      <c r="AD74" s="16">
        <v>4.5</v>
      </c>
      <c r="AE74" s="16" t="s">
        <v>52</v>
      </c>
      <c r="AF74" s="19" t="s">
        <v>52</v>
      </c>
      <c r="AG74" s="19" t="s">
        <v>52</v>
      </c>
      <c r="AH74" s="19" t="s">
        <v>52</v>
      </c>
      <c r="AI74" s="594"/>
      <c r="AJ74" s="16">
        <v>26</v>
      </c>
      <c r="AK74" s="16" t="s">
        <v>1522</v>
      </c>
      <c r="AL74" s="16" t="s">
        <v>1523</v>
      </c>
      <c r="AM74" s="239"/>
      <c r="AN74" s="593"/>
      <c r="AO74" s="11">
        <v>26</v>
      </c>
      <c r="AP74" s="11" t="s">
        <v>52</v>
      </c>
      <c r="AQ74" s="54">
        <v>64</v>
      </c>
      <c r="AR74" s="54" t="s">
        <v>1524</v>
      </c>
      <c r="AS74" s="614"/>
      <c r="AT74" s="11" t="s">
        <v>52</v>
      </c>
      <c r="AU74" s="11" t="s">
        <v>52</v>
      </c>
      <c r="AV74" s="588"/>
      <c r="AW74" s="11">
        <v>26</v>
      </c>
      <c r="AX74" s="11" t="s">
        <v>1525</v>
      </c>
      <c r="AY74" s="11" t="s">
        <v>1526</v>
      </c>
      <c r="AZ74" s="11" t="s">
        <v>1527</v>
      </c>
      <c r="BA74" s="11" t="s">
        <v>608</v>
      </c>
      <c r="BB74" s="11" t="s">
        <v>608</v>
      </c>
      <c r="BC74" s="11" t="s">
        <v>608</v>
      </c>
      <c r="BD74" s="11" t="s">
        <v>1525</v>
      </c>
      <c r="BE74" s="11" t="s">
        <v>608</v>
      </c>
      <c r="BF74" s="11" t="s">
        <v>608</v>
      </c>
      <c r="BG74" s="11" t="s">
        <v>1527</v>
      </c>
      <c r="BH74" s="11" t="s">
        <v>608</v>
      </c>
      <c r="BI74" s="54" t="s">
        <v>52</v>
      </c>
      <c r="BJ74" s="11" t="s">
        <v>1525</v>
      </c>
      <c r="BK74" s="11" t="s">
        <v>608</v>
      </c>
      <c r="BL74" s="54" t="s">
        <v>52</v>
      </c>
      <c r="BM74" s="54" t="s">
        <v>1528</v>
      </c>
      <c r="BN74" s="11" t="s">
        <v>608</v>
      </c>
      <c r="BO74" s="11" t="s">
        <v>608</v>
      </c>
      <c r="BP74" s="588"/>
      <c r="BQ74" s="588"/>
      <c r="BR74" s="588"/>
      <c r="BS74" s="588"/>
      <c r="BT74" s="53"/>
    </row>
    <row r="75" spans="1:72" s="8" customFormat="1" ht="15" customHeight="1">
      <c r="A75" s="637" t="s">
        <v>1883</v>
      </c>
      <c r="B75" s="588" t="s">
        <v>1529</v>
      </c>
      <c r="C75" s="650" t="s">
        <v>1530</v>
      </c>
      <c r="D75" s="604" t="s">
        <v>1531</v>
      </c>
      <c r="E75" s="604" t="s">
        <v>1532</v>
      </c>
      <c r="F75" s="22" t="s">
        <v>489</v>
      </c>
      <c r="G75" s="604" t="s">
        <v>1533</v>
      </c>
      <c r="H75" s="604" t="s">
        <v>1534</v>
      </c>
      <c r="I75" s="656" t="s">
        <v>1535</v>
      </c>
      <c r="J75" s="234">
        <v>206</v>
      </c>
      <c r="K75" s="589">
        <v>406</v>
      </c>
      <c r="L75" s="234">
        <v>74</v>
      </c>
      <c r="M75" s="604">
        <v>74</v>
      </c>
      <c r="N75" s="271">
        <v>0.58299999999999996</v>
      </c>
      <c r="O75" s="615">
        <v>245.09800000000001</v>
      </c>
      <c r="P75" s="280">
        <v>0.58299999999999996</v>
      </c>
      <c r="Q75" s="63" t="s">
        <v>1536</v>
      </c>
      <c r="R75" s="22" t="s">
        <v>1537</v>
      </c>
      <c r="S75" s="22" t="s">
        <v>1538</v>
      </c>
      <c r="T75" s="22" t="s">
        <v>52</v>
      </c>
      <c r="U75" s="22" t="s">
        <v>52</v>
      </c>
      <c r="V75" s="22" t="s">
        <v>1539</v>
      </c>
      <c r="W75" s="234">
        <v>181</v>
      </c>
      <c r="X75" s="617">
        <f>W75+W76</f>
        <v>353</v>
      </c>
      <c r="Y75" s="234"/>
      <c r="Z75" s="13" t="s">
        <v>1540</v>
      </c>
      <c r="AA75" s="13" t="s">
        <v>1541</v>
      </c>
      <c r="AB75" s="13">
        <v>84</v>
      </c>
      <c r="AC75" s="16" t="s">
        <v>52</v>
      </c>
      <c r="AD75" s="16" t="s">
        <v>52</v>
      </c>
      <c r="AE75" s="16" t="s">
        <v>52</v>
      </c>
      <c r="AF75" s="16" t="s">
        <v>52</v>
      </c>
      <c r="AG75" s="16" t="s">
        <v>52</v>
      </c>
      <c r="AH75" s="16" t="s">
        <v>52</v>
      </c>
      <c r="AI75" s="594" t="s">
        <v>52</v>
      </c>
      <c r="AJ75" s="16">
        <v>176</v>
      </c>
      <c r="AK75" s="16" t="s">
        <v>1542</v>
      </c>
      <c r="AL75" s="16" t="s">
        <v>52</v>
      </c>
      <c r="AM75" s="239"/>
      <c r="AN75" s="593" t="s">
        <v>1543</v>
      </c>
      <c r="AO75" s="22">
        <v>206</v>
      </c>
      <c r="AP75" s="22" t="s">
        <v>52</v>
      </c>
      <c r="AQ75" s="13">
        <v>113</v>
      </c>
      <c r="AR75" s="22" t="s">
        <v>52</v>
      </c>
      <c r="AS75" s="614" t="s">
        <v>1544</v>
      </c>
      <c r="AT75" s="22" t="s">
        <v>52</v>
      </c>
      <c r="AU75" s="22" t="s">
        <v>52</v>
      </c>
      <c r="AV75" s="588" t="s">
        <v>52</v>
      </c>
      <c r="AW75" s="22" t="s">
        <v>52</v>
      </c>
      <c r="AX75" s="22" t="s">
        <v>52</v>
      </c>
      <c r="AY75" s="22" t="s">
        <v>52</v>
      </c>
      <c r="AZ75" s="22" t="s">
        <v>52</v>
      </c>
      <c r="BA75" s="62">
        <v>0.04</v>
      </c>
      <c r="BB75" s="22" t="s">
        <v>52</v>
      </c>
      <c r="BC75" s="22" t="s">
        <v>52</v>
      </c>
      <c r="BD75" s="22" t="s">
        <v>52</v>
      </c>
      <c r="BE75" s="62">
        <v>0</v>
      </c>
      <c r="BF75" s="22" t="s">
        <v>52</v>
      </c>
      <c r="BG75" s="22" t="s">
        <v>52</v>
      </c>
      <c r="BH75" s="22" t="s">
        <v>52</v>
      </c>
      <c r="BI75" s="22" t="s">
        <v>52</v>
      </c>
      <c r="BJ75" s="22" t="s">
        <v>52</v>
      </c>
      <c r="BK75" s="22" t="s">
        <v>52</v>
      </c>
      <c r="BL75" s="22" t="s">
        <v>52</v>
      </c>
      <c r="BM75" s="22" t="s">
        <v>52</v>
      </c>
      <c r="BN75" s="22" t="s">
        <v>52</v>
      </c>
      <c r="BO75" s="22" t="s">
        <v>52</v>
      </c>
      <c r="BP75" s="604" t="s">
        <v>52</v>
      </c>
      <c r="BQ75" s="604" t="s">
        <v>52</v>
      </c>
      <c r="BR75" s="588" t="s">
        <v>722</v>
      </c>
      <c r="BS75" s="588" t="s">
        <v>1545</v>
      </c>
      <c r="BT75" s="53"/>
    </row>
    <row r="76" spans="1:72" s="8" customFormat="1" ht="15" customHeight="1">
      <c r="A76" s="638"/>
      <c r="B76" s="588"/>
      <c r="C76" s="650"/>
      <c r="D76" s="604"/>
      <c r="E76" s="604"/>
      <c r="F76" s="22" t="s">
        <v>1546</v>
      </c>
      <c r="G76" s="604"/>
      <c r="H76" s="604"/>
      <c r="I76" s="656"/>
      <c r="J76" s="234">
        <v>200</v>
      </c>
      <c r="K76" s="590"/>
      <c r="L76" s="234">
        <v>74</v>
      </c>
      <c r="M76" s="604"/>
      <c r="N76" s="271">
        <v>0.625</v>
      </c>
      <c r="O76" s="616"/>
      <c r="P76" s="280">
        <v>0.625</v>
      </c>
      <c r="Q76" s="63" t="s">
        <v>1547</v>
      </c>
      <c r="R76" s="22" t="s">
        <v>1548</v>
      </c>
      <c r="S76" s="22" t="s">
        <v>1549</v>
      </c>
      <c r="T76" s="22" t="s">
        <v>52</v>
      </c>
      <c r="U76" s="22" t="s">
        <v>52</v>
      </c>
      <c r="V76" s="22" t="s">
        <v>1550</v>
      </c>
      <c r="W76" s="234">
        <v>172</v>
      </c>
      <c r="X76" s="618"/>
      <c r="Y76" s="234"/>
      <c r="Z76" s="13" t="s">
        <v>1551</v>
      </c>
      <c r="AA76" s="13" t="s">
        <v>1552</v>
      </c>
      <c r="AB76" s="13">
        <v>56</v>
      </c>
      <c r="AC76" s="16" t="s">
        <v>52</v>
      </c>
      <c r="AD76" s="16" t="s">
        <v>52</v>
      </c>
      <c r="AE76" s="16" t="s">
        <v>52</v>
      </c>
      <c r="AF76" s="19" t="s">
        <v>52</v>
      </c>
      <c r="AG76" s="19" t="s">
        <v>52</v>
      </c>
      <c r="AH76" s="19" t="s">
        <v>52</v>
      </c>
      <c r="AI76" s="594"/>
      <c r="AJ76" s="16">
        <v>169</v>
      </c>
      <c r="AK76" s="16" t="s">
        <v>1553</v>
      </c>
      <c r="AL76" s="16" t="s">
        <v>52</v>
      </c>
      <c r="AM76" s="239"/>
      <c r="AN76" s="593"/>
      <c r="AO76" s="22">
        <v>200</v>
      </c>
      <c r="AP76" s="22" t="s">
        <v>52</v>
      </c>
      <c r="AQ76" s="13">
        <v>68</v>
      </c>
      <c r="AR76" s="22" t="s">
        <v>52</v>
      </c>
      <c r="AS76" s="614"/>
      <c r="AT76" s="22" t="s">
        <v>52</v>
      </c>
      <c r="AU76" s="22" t="s">
        <v>52</v>
      </c>
      <c r="AV76" s="588"/>
      <c r="AW76" s="22" t="s">
        <v>52</v>
      </c>
      <c r="AX76" s="22" t="s">
        <v>52</v>
      </c>
      <c r="AY76" s="22" t="s">
        <v>52</v>
      </c>
      <c r="AZ76" s="22" t="s">
        <v>52</v>
      </c>
      <c r="BA76" s="62">
        <v>0.09</v>
      </c>
      <c r="BB76" s="22" t="s">
        <v>52</v>
      </c>
      <c r="BC76" s="22" t="s">
        <v>52</v>
      </c>
      <c r="BD76" s="22" t="s">
        <v>52</v>
      </c>
      <c r="BE76" s="62">
        <v>0.04</v>
      </c>
      <c r="BF76" s="22" t="s">
        <v>52</v>
      </c>
      <c r="BG76" s="22" t="s">
        <v>52</v>
      </c>
      <c r="BH76" s="22" t="s">
        <v>52</v>
      </c>
      <c r="BI76" s="22" t="s">
        <v>52</v>
      </c>
      <c r="BJ76" s="22" t="s">
        <v>52</v>
      </c>
      <c r="BK76" s="22" t="s">
        <v>52</v>
      </c>
      <c r="BL76" s="22" t="s">
        <v>52</v>
      </c>
      <c r="BM76" s="22" t="s">
        <v>52</v>
      </c>
      <c r="BN76" s="22" t="s">
        <v>52</v>
      </c>
      <c r="BO76" s="22" t="s">
        <v>52</v>
      </c>
      <c r="BP76" s="604"/>
      <c r="BQ76" s="604"/>
      <c r="BR76" s="588"/>
      <c r="BS76" s="588"/>
      <c r="BT76" s="53"/>
    </row>
    <row r="77" spans="1:72" s="8" customFormat="1" ht="15" customHeight="1">
      <c r="A77" s="637" t="s">
        <v>1883</v>
      </c>
      <c r="B77" s="588" t="s">
        <v>1554</v>
      </c>
      <c r="C77" s="650" t="s">
        <v>1555</v>
      </c>
      <c r="D77" s="604" t="s">
        <v>1556</v>
      </c>
      <c r="E77" s="604" t="s">
        <v>1557</v>
      </c>
      <c r="F77" s="22" t="s">
        <v>1546</v>
      </c>
      <c r="G77" s="604" t="s">
        <v>1558</v>
      </c>
      <c r="H77" s="604" t="s">
        <v>1559</v>
      </c>
      <c r="I77" s="656" t="s">
        <v>1560</v>
      </c>
      <c r="J77" s="234">
        <v>16</v>
      </c>
      <c r="K77" s="589">
        <v>70</v>
      </c>
      <c r="L77" s="234">
        <v>71</v>
      </c>
      <c r="M77" s="604">
        <v>71</v>
      </c>
      <c r="N77" s="269" t="s">
        <v>52</v>
      </c>
      <c r="O77" s="663" t="s">
        <v>52</v>
      </c>
      <c r="P77" s="41" t="s">
        <v>52</v>
      </c>
      <c r="Q77" s="62" t="s">
        <v>1561</v>
      </c>
      <c r="R77" s="62" t="s">
        <v>622</v>
      </c>
      <c r="S77" s="13" t="s">
        <v>1562</v>
      </c>
      <c r="T77" s="11" t="s">
        <v>52</v>
      </c>
      <c r="U77" s="11" t="s">
        <v>52</v>
      </c>
      <c r="V77" s="22" t="s">
        <v>1561</v>
      </c>
      <c r="W77" s="234">
        <v>16</v>
      </c>
      <c r="X77" s="617">
        <f>W77+W78</f>
        <v>70</v>
      </c>
      <c r="Y77" s="234"/>
      <c r="Z77" s="61" t="s">
        <v>1563</v>
      </c>
      <c r="AA77" s="61" t="s">
        <v>1564</v>
      </c>
      <c r="AB77" s="22" t="s">
        <v>52</v>
      </c>
      <c r="AC77" s="16">
        <v>16</v>
      </c>
      <c r="AD77" s="16">
        <v>11.4</v>
      </c>
      <c r="AE77" s="16" t="s">
        <v>52</v>
      </c>
      <c r="AF77" s="16" t="s">
        <v>52</v>
      </c>
      <c r="AG77" s="16" t="s">
        <v>52</v>
      </c>
      <c r="AH77" s="16">
        <v>0.1</v>
      </c>
      <c r="AI77" s="594" t="s">
        <v>1565</v>
      </c>
      <c r="AJ77" s="16">
        <v>16</v>
      </c>
      <c r="AK77" s="16" t="s">
        <v>1566</v>
      </c>
      <c r="AL77" s="16" t="s">
        <v>1567</v>
      </c>
      <c r="AM77" s="239"/>
      <c r="AN77" s="593" t="s">
        <v>1568</v>
      </c>
      <c r="AO77" s="22">
        <v>16</v>
      </c>
      <c r="AP77" s="22" t="s">
        <v>52</v>
      </c>
      <c r="AQ77" s="13">
        <v>34</v>
      </c>
      <c r="AR77" s="13" t="s">
        <v>1569</v>
      </c>
      <c r="AS77" s="614" t="s">
        <v>1570</v>
      </c>
      <c r="AT77" s="22" t="s">
        <v>52</v>
      </c>
      <c r="AU77" s="22" t="s">
        <v>52</v>
      </c>
      <c r="AV77" s="588" t="s">
        <v>52</v>
      </c>
      <c r="AW77" s="22">
        <v>16</v>
      </c>
      <c r="AX77" s="22" t="s">
        <v>52</v>
      </c>
      <c r="AY77" s="22" t="s">
        <v>52</v>
      </c>
      <c r="AZ77" s="22" t="s">
        <v>52</v>
      </c>
      <c r="BA77" s="22" t="s">
        <v>622</v>
      </c>
      <c r="BB77" s="22" t="s">
        <v>52</v>
      </c>
      <c r="BC77" s="22" t="s">
        <v>622</v>
      </c>
      <c r="BD77" s="22" t="s">
        <v>52</v>
      </c>
      <c r="BE77" s="22" t="s">
        <v>622</v>
      </c>
      <c r="BF77" s="22" t="s">
        <v>52</v>
      </c>
      <c r="BG77" s="22" t="s">
        <v>52</v>
      </c>
      <c r="BH77" s="22" t="s">
        <v>52</v>
      </c>
      <c r="BI77" s="22" t="s">
        <v>52</v>
      </c>
      <c r="BJ77" s="22" t="s">
        <v>52</v>
      </c>
      <c r="BK77" s="22" t="s">
        <v>622</v>
      </c>
      <c r="BL77" s="22" t="s">
        <v>52</v>
      </c>
      <c r="BM77" s="22" t="s">
        <v>52</v>
      </c>
      <c r="BN77" s="22" t="s">
        <v>52</v>
      </c>
      <c r="BO77" s="22" t="s">
        <v>52</v>
      </c>
      <c r="BP77" s="604" t="s">
        <v>52</v>
      </c>
      <c r="BQ77" s="604" t="s">
        <v>52</v>
      </c>
      <c r="BR77" s="604" t="s">
        <v>722</v>
      </c>
      <c r="BS77" s="604" t="s">
        <v>1571</v>
      </c>
      <c r="BT77" s="53"/>
    </row>
    <row r="78" spans="1:72" s="8" customFormat="1" ht="15" customHeight="1">
      <c r="A78" s="638"/>
      <c r="B78" s="588"/>
      <c r="C78" s="650"/>
      <c r="D78" s="604"/>
      <c r="E78" s="604"/>
      <c r="F78" s="22" t="s">
        <v>1572</v>
      </c>
      <c r="G78" s="604"/>
      <c r="H78" s="604"/>
      <c r="I78" s="656"/>
      <c r="J78" s="234">
        <v>54</v>
      </c>
      <c r="K78" s="590"/>
      <c r="L78" s="234">
        <v>70</v>
      </c>
      <c r="M78" s="604"/>
      <c r="N78" s="269" t="s">
        <v>52</v>
      </c>
      <c r="O78" s="663"/>
      <c r="P78" s="41" t="s">
        <v>52</v>
      </c>
      <c r="Q78" s="62" t="s">
        <v>1573</v>
      </c>
      <c r="R78" s="22" t="s">
        <v>1574</v>
      </c>
      <c r="S78" s="13" t="s">
        <v>1575</v>
      </c>
      <c r="T78" s="11" t="s">
        <v>52</v>
      </c>
      <c r="U78" s="11" t="s">
        <v>52</v>
      </c>
      <c r="V78" s="22" t="s">
        <v>1576</v>
      </c>
      <c r="W78" s="234">
        <v>54</v>
      </c>
      <c r="X78" s="618"/>
      <c r="Y78" s="234"/>
      <c r="Z78" s="61" t="s">
        <v>1577</v>
      </c>
      <c r="AA78" s="61" t="s">
        <v>1578</v>
      </c>
      <c r="AB78" s="22" t="s">
        <v>52</v>
      </c>
      <c r="AC78" s="16">
        <v>54</v>
      </c>
      <c r="AD78" s="16">
        <v>5.8</v>
      </c>
      <c r="AE78" s="16" t="s">
        <v>52</v>
      </c>
      <c r="AF78" s="19" t="s">
        <v>52</v>
      </c>
      <c r="AG78" s="19" t="s">
        <v>52</v>
      </c>
      <c r="AH78" s="19" t="s">
        <v>52</v>
      </c>
      <c r="AI78" s="594"/>
      <c r="AJ78" s="16">
        <v>54</v>
      </c>
      <c r="AK78" s="16" t="s">
        <v>1579</v>
      </c>
      <c r="AL78" s="16" t="s">
        <v>1580</v>
      </c>
      <c r="AM78" s="239"/>
      <c r="AN78" s="593"/>
      <c r="AO78" s="22">
        <v>54</v>
      </c>
      <c r="AP78" s="22" t="s">
        <v>52</v>
      </c>
      <c r="AQ78" s="13">
        <v>34</v>
      </c>
      <c r="AR78" s="13" t="s">
        <v>1569</v>
      </c>
      <c r="AS78" s="614"/>
      <c r="AT78" s="22" t="s">
        <v>52</v>
      </c>
      <c r="AU78" s="22" t="s">
        <v>52</v>
      </c>
      <c r="AV78" s="588"/>
      <c r="AW78" s="22">
        <v>54</v>
      </c>
      <c r="AX78" s="22" t="s">
        <v>52</v>
      </c>
      <c r="AY78" s="22" t="s">
        <v>52</v>
      </c>
      <c r="AZ78" s="22" t="s">
        <v>52</v>
      </c>
      <c r="BA78" s="22" t="s">
        <v>622</v>
      </c>
      <c r="BB78" s="22" t="s">
        <v>52</v>
      </c>
      <c r="BC78" s="22" t="s">
        <v>1581</v>
      </c>
      <c r="BD78" s="22" t="s">
        <v>52</v>
      </c>
      <c r="BE78" s="22" t="s">
        <v>1582</v>
      </c>
      <c r="BF78" s="22" t="s">
        <v>52</v>
      </c>
      <c r="BG78" s="22" t="s">
        <v>52</v>
      </c>
      <c r="BH78" s="22" t="s">
        <v>52</v>
      </c>
      <c r="BI78" s="22" t="s">
        <v>52</v>
      </c>
      <c r="BJ78" s="22" t="s">
        <v>52</v>
      </c>
      <c r="BK78" s="22" t="s">
        <v>622</v>
      </c>
      <c r="BL78" s="22" t="s">
        <v>52</v>
      </c>
      <c r="BM78" s="22" t="s">
        <v>52</v>
      </c>
      <c r="BN78" s="22" t="s">
        <v>52</v>
      </c>
      <c r="BO78" s="22" t="s">
        <v>52</v>
      </c>
      <c r="BP78" s="604"/>
      <c r="BQ78" s="604"/>
      <c r="BR78" s="604"/>
      <c r="BS78" s="604"/>
      <c r="BT78" s="53"/>
    </row>
    <row r="79" spans="1:72" s="8" customFormat="1" ht="15" customHeight="1">
      <c r="A79" s="637" t="s">
        <v>1883</v>
      </c>
      <c r="B79" s="588" t="s">
        <v>1583</v>
      </c>
      <c r="C79" s="650" t="s">
        <v>1584</v>
      </c>
      <c r="D79" s="588" t="s">
        <v>52</v>
      </c>
      <c r="E79" s="588" t="s">
        <v>1417</v>
      </c>
      <c r="F79" s="11" t="s">
        <v>492</v>
      </c>
      <c r="G79" s="588" t="s">
        <v>1585</v>
      </c>
      <c r="H79" s="588" t="s">
        <v>1586</v>
      </c>
      <c r="I79" s="612" t="s">
        <v>1886</v>
      </c>
      <c r="J79" s="235">
        <v>45</v>
      </c>
      <c r="K79" s="589">
        <v>90</v>
      </c>
      <c r="L79" s="235" t="s">
        <v>52</v>
      </c>
      <c r="M79" s="588" t="s">
        <v>52</v>
      </c>
      <c r="N79" s="74" t="s">
        <v>52</v>
      </c>
      <c r="O79" s="615" t="s">
        <v>52</v>
      </c>
      <c r="P79" s="246" t="s">
        <v>52</v>
      </c>
      <c r="Q79" s="59" t="s">
        <v>1587</v>
      </c>
      <c r="R79" s="55" t="s">
        <v>622</v>
      </c>
      <c r="S79" s="59" t="s">
        <v>1588</v>
      </c>
      <c r="T79" s="11" t="s">
        <v>52</v>
      </c>
      <c r="U79" s="11" t="s">
        <v>52</v>
      </c>
      <c r="V79" s="11" t="s">
        <v>52</v>
      </c>
      <c r="W79" s="235" t="s">
        <v>52</v>
      </c>
      <c r="X79" s="617" t="e">
        <f>W79+W80</f>
        <v>#VALUE!</v>
      </c>
      <c r="Y79" s="235"/>
      <c r="Z79" s="11" t="s">
        <v>52</v>
      </c>
      <c r="AA79" s="11" t="s">
        <v>52</v>
      </c>
      <c r="AB79" s="11" t="s">
        <v>52</v>
      </c>
      <c r="AC79" s="16">
        <v>45</v>
      </c>
      <c r="AD79" s="16">
        <v>6</v>
      </c>
      <c r="AE79" s="16" t="s">
        <v>52</v>
      </c>
      <c r="AF79" s="16" t="s">
        <v>52</v>
      </c>
      <c r="AG79" s="16" t="s">
        <v>52</v>
      </c>
      <c r="AH79" s="16" t="s">
        <v>52</v>
      </c>
      <c r="AI79" s="594" t="s">
        <v>1589</v>
      </c>
      <c r="AJ79" s="58">
        <v>45</v>
      </c>
      <c r="AK79" s="16" t="s">
        <v>1590</v>
      </c>
      <c r="AL79" s="292">
        <v>2</v>
      </c>
      <c r="AM79" s="291"/>
      <c r="AN79" s="593" t="s">
        <v>1591</v>
      </c>
      <c r="AO79" s="11" t="s">
        <v>52</v>
      </c>
      <c r="AP79" s="11" t="s">
        <v>52</v>
      </c>
      <c r="AQ79" s="11" t="s">
        <v>52</v>
      </c>
      <c r="AR79" s="11" t="s">
        <v>52</v>
      </c>
      <c r="AS79" s="588" t="s">
        <v>52</v>
      </c>
      <c r="AT79" s="11" t="s">
        <v>52</v>
      </c>
      <c r="AU79" s="11" t="s">
        <v>709</v>
      </c>
      <c r="AV79" s="588" t="s">
        <v>52</v>
      </c>
      <c r="AW79" s="11">
        <v>45</v>
      </c>
      <c r="AX79" s="11" t="s">
        <v>52</v>
      </c>
      <c r="AY79" s="11" t="s">
        <v>52</v>
      </c>
      <c r="AZ79" s="60" t="s">
        <v>1592</v>
      </c>
      <c r="BA79" s="11" t="s">
        <v>52</v>
      </c>
      <c r="BB79" s="11" t="s">
        <v>52</v>
      </c>
      <c r="BC79" s="11" t="s">
        <v>52</v>
      </c>
      <c r="BD79" s="11" t="s">
        <v>52</v>
      </c>
      <c r="BE79" s="11" t="s">
        <v>52</v>
      </c>
      <c r="BF79" s="11" t="s">
        <v>52</v>
      </c>
      <c r="BG79" s="11" t="s">
        <v>52</v>
      </c>
      <c r="BH79" s="11" t="s">
        <v>52</v>
      </c>
      <c r="BI79" s="11" t="s">
        <v>52</v>
      </c>
      <c r="BJ79" s="11" t="s">
        <v>52</v>
      </c>
      <c r="BK79" s="11" t="s">
        <v>52</v>
      </c>
      <c r="BL79" s="11" t="s">
        <v>52</v>
      </c>
      <c r="BM79" s="11" t="s">
        <v>52</v>
      </c>
      <c r="BN79" s="11" t="s">
        <v>52</v>
      </c>
      <c r="BO79" s="11" t="s">
        <v>52</v>
      </c>
      <c r="BP79" s="588" t="s">
        <v>52</v>
      </c>
      <c r="BQ79" s="588" t="s">
        <v>52</v>
      </c>
      <c r="BR79" s="588" t="s">
        <v>52</v>
      </c>
      <c r="BS79" s="588" t="s">
        <v>52</v>
      </c>
      <c r="BT79" s="53"/>
    </row>
    <row r="80" spans="1:72" s="8" customFormat="1" ht="15" customHeight="1">
      <c r="A80" s="638"/>
      <c r="B80" s="588"/>
      <c r="C80" s="650"/>
      <c r="D80" s="588"/>
      <c r="E80" s="588"/>
      <c r="F80" s="11" t="s">
        <v>1593</v>
      </c>
      <c r="G80" s="588"/>
      <c r="H80" s="588"/>
      <c r="I80" s="612"/>
      <c r="J80" s="235">
        <v>45</v>
      </c>
      <c r="K80" s="590"/>
      <c r="L80" s="235" t="s">
        <v>52</v>
      </c>
      <c r="M80" s="588"/>
      <c r="N80" s="74" t="s">
        <v>52</v>
      </c>
      <c r="O80" s="616"/>
      <c r="P80" s="246" t="s">
        <v>52</v>
      </c>
      <c r="Q80" s="59" t="s">
        <v>1587</v>
      </c>
      <c r="R80" s="55" t="s">
        <v>622</v>
      </c>
      <c r="S80" s="59" t="s">
        <v>1588</v>
      </c>
      <c r="T80" s="11" t="s">
        <v>52</v>
      </c>
      <c r="U80" s="11" t="s">
        <v>52</v>
      </c>
      <c r="V80" s="11" t="s">
        <v>52</v>
      </c>
      <c r="W80" s="235" t="s">
        <v>52</v>
      </c>
      <c r="X80" s="618"/>
      <c r="Y80" s="235"/>
      <c r="Z80" s="11" t="s">
        <v>52</v>
      </c>
      <c r="AA80" s="11" t="s">
        <v>52</v>
      </c>
      <c r="AB80" s="11" t="s">
        <v>52</v>
      </c>
      <c r="AC80" s="16">
        <v>45</v>
      </c>
      <c r="AD80" s="16">
        <v>9</v>
      </c>
      <c r="AE80" s="16" t="s">
        <v>52</v>
      </c>
      <c r="AF80" s="19" t="s">
        <v>52</v>
      </c>
      <c r="AG80" s="19" t="s">
        <v>52</v>
      </c>
      <c r="AH80" s="19" t="s">
        <v>52</v>
      </c>
      <c r="AI80" s="594"/>
      <c r="AJ80" s="58">
        <v>45</v>
      </c>
      <c r="AK80" s="16" t="s">
        <v>1594</v>
      </c>
      <c r="AL80" s="292">
        <v>7</v>
      </c>
      <c r="AM80" s="291"/>
      <c r="AN80" s="593"/>
      <c r="AO80" s="11" t="s">
        <v>52</v>
      </c>
      <c r="AP80" s="11" t="s">
        <v>52</v>
      </c>
      <c r="AQ80" s="11" t="s">
        <v>52</v>
      </c>
      <c r="AR80" s="11" t="s">
        <v>52</v>
      </c>
      <c r="AS80" s="588"/>
      <c r="AT80" s="11" t="s">
        <v>52</v>
      </c>
      <c r="AU80" s="11" t="s">
        <v>1595</v>
      </c>
      <c r="AV80" s="588"/>
      <c r="AW80" s="11">
        <v>45</v>
      </c>
      <c r="AX80" s="11" t="s">
        <v>52</v>
      </c>
      <c r="AY80" s="11" t="s">
        <v>52</v>
      </c>
      <c r="AZ80" s="55" t="s">
        <v>1587</v>
      </c>
      <c r="BA80" s="11" t="s">
        <v>52</v>
      </c>
      <c r="BB80" s="11" t="s">
        <v>52</v>
      </c>
      <c r="BC80" s="11" t="s">
        <v>52</v>
      </c>
      <c r="BD80" s="11" t="s">
        <v>52</v>
      </c>
      <c r="BE80" s="11" t="s">
        <v>52</v>
      </c>
      <c r="BF80" s="11" t="s">
        <v>52</v>
      </c>
      <c r="BG80" s="11" t="s">
        <v>52</v>
      </c>
      <c r="BH80" s="11" t="s">
        <v>52</v>
      </c>
      <c r="BI80" s="11" t="s">
        <v>52</v>
      </c>
      <c r="BJ80" s="11" t="s">
        <v>52</v>
      </c>
      <c r="BK80" s="11" t="s">
        <v>52</v>
      </c>
      <c r="BL80" s="11" t="s">
        <v>52</v>
      </c>
      <c r="BM80" s="11" t="s">
        <v>52</v>
      </c>
      <c r="BN80" s="11" t="s">
        <v>52</v>
      </c>
      <c r="BO80" s="11" t="s">
        <v>52</v>
      </c>
      <c r="BP80" s="588"/>
      <c r="BQ80" s="588"/>
      <c r="BR80" s="588"/>
      <c r="BS80" s="588"/>
      <c r="BT80" s="53"/>
    </row>
    <row r="81" spans="1:72" ht="15" customHeight="1">
      <c r="A81" s="637" t="s">
        <v>1883</v>
      </c>
      <c r="B81" s="605" t="s">
        <v>1596</v>
      </c>
      <c r="C81" s="650" t="s">
        <v>1885</v>
      </c>
      <c r="D81" s="588" t="s">
        <v>1597</v>
      </c>
      <c r="E81" s="588" t="s">
        <v>1598</v>
      </c>
      <c r="F81" s="11" t="s">
        <v>1599</v>
      </c>
      <c r="G81" s="588" t="s">
        <v>1600</v>
      </c>
      <c r="H81" s="588" t="s">
        <v>1601</v>
      </c>
      <c r="I81" s="612" t="s">
        <v>1602</v>
      </c>
      <c r="J81" s="235">
        <v>246</v>
      </c>
      <c r="K81" s="589">
        <v>495</v>
      </c>
      <c r="L81" s="235">
        <v>76</v>
      </c>
      <c r="M81" s="588">
        <v>75</v>
      </c>
      <c r="N81" s="74">
        <v>0.622</v>
      </c>
      <c r="O81" s="615">
        <v>299.92200000000003</v>
      </c>
      <c r="P81" s="246">
        <v>153</v>
      </c>
      <c r="Q81" s="55" t="s">
        <v>1603</v>
      </c>
      <c r="R81" s="11" t="s">
        <v>1604</v>
      </c>
      <c r="S81" s="11" t="s">
        <v>1605</v>
      </c>
      <c r="T81" s="11" t="s">
        <v>52</v>
      </c>
      <c r="U81" s="11" t="s">
        <v>52</v>
      </c>
      <c r="V81" s="11" t="s">
        <v>1606</v>
      </c>
      <c r="W81" s="235">
        <v>218</v>
      </c>
      <c r="X81" s="617">
        <f>W81+W82</f>
        <v>438</v>
      </c>
      <c r="Y81" s="235"/>
      <c r="Z81" s="11" t="s">
        <v>1607</v>
      </c>
      <c r="AA81" s="11" t="s">
        <v>1608</v>
      </c>
      <c r="AB81" s="11" t="s">
        <v>52</v>
      </c>
      <c r="AC81" s="16" t="s">
        <v>52</v>
      </c>
      <c r="AD81" s="16" t="s">
        <v>52</v>
      </c>
      <c r="AE81" s="16" t="s">
        <v>52</v>
      </c>
      <c r="AF81" s="16" t="s">
        <v>52</v>
      </c>
      <c r="AG81" s="16" t="s">
        <v>52</v>
      </c>
      <c r="AH81" s="16" t="s">
        <v>52</v>
      </c>
      <c r="AI81" s="594" t="s">
        <v>52</v>
      </c>
      <c r="AJ81" s="16" t="s">
        <v>52</v>
      </c>
      <c r="AK81" s="16" t="s">
        <v>52</v>
      </c>
      <c r="AL81" s="16" t="s">
        <v>52</v>
      </c>
      <c r="AM81" s="239"/>
      <c r="AN81" s="593" t="s">
        <v>52</v>
      </c>
      <c r="AO81" s="11" t="s">
        <v>52</v>
      </c>
      <c r="AP81" s="11" t="s">
        <v>52</v>
      </c>
      <c r="AQ81" s="11" t="s">
        <v>52</v>
      </c>
      <c r="AR81" s="11" t="s">
        <v>52</v>
      </c>
      <c r="AS81" s="588" t="s">
        <v>52</v>
      </c>
      <c r="AT81" s="11" t="s">
        <v>52</v>
      </c>
      <c r="AU81" s="11" t="s">
        <v>52</v>
      </c>
      <c r="AV81" s="588" t="s">
        <v>52</v>
      </c>
      <c r="AW81" s="11" t="s">
        <v>52</v>
      </c>
      <c r="AX81" s="11" t="s">
        <v>52</v>
      </c>
      <c r="AY81" s="11" t="s">
        <v>52</v>
      </c>
      <c r="AZ81" s="11" t="s">
        <v>52</v>
      </c>
      <c r="BA81" s="55" t="s">
        <v>1609</v>
      </c>
      <c r="BB81" s="11" t="s">
        <v>52</v>
      </c>
      <c r="BC81" s="11" t="s">
        <v>52</v>
      </c>
      <c r="BD81" s="11" t="s">
        <v>52</v>
      </c>
      <c r="BE81" s="55" t="s">
        <v>1609</v>
      </c>
      <c r="BF81" s="11" t="s">
        <v>52</v>
      </c>
      <c r="BG81" s="11" t="s">
        <v>52</v>
      </c>
      <c r="BH81" s="11" t="s">
        <v>52</v>
      </c>
      <c r="BI81" s="11" t="s">
        <v>52</v>
      </c>
      <c r="BJ81" s="11" t="s">
        <v>52</v>
      </c>
      <c r="BK81" s="11" t="s">
        <v>52</v>
      </c>
      <c r="BL81" s="11" t="s">
        <v>52</v>
      </c>
      <c r="BM81" s="11" t="s">
        <v>52</v>
      </c>
      <c r="BN81" s="11" t="s">
        <v>52</v>
      </c>
      <c r="BO81" s="11" t="s">
        <v>52</v>
      </c>
      <c r="BP81" s="588" t="s">
        <v>52</v>
      </c>
      <c r="BQ81" s="588" t="s">
        <v>52</v>
      </c>
      <c r="BR81" s="689"/>
      <c r="BS81" s="689"/>
      <c r="BT81" s="56"/>
    </row>
    <row r="82" spans="1:72" ht="15" customHeight="1">
      <c r="A82" s="638"/>
      <c r="B82" s="605"/>
      <c r="C82" s="650"/>
      <c r="D82" s="588"/>
      <c r="E82" s="588"/>
      <c r="F82" s="11" t="s">
        <v>1610</v>
      </c>
      <c r="G82" s="588"/>
      <c r="H82" s="588"/>
      <c r="I82" s="612"/>
      <c r="J82" s="235">
        <v>249</v>
      </c>
      <c r="K82" s="590"/>
      <c r="L82" s="235">
        <v>75</v>
      </c>
      <c r="M82" s="588"/>
      <c r="N82" s="74">
        <v>0.59</v>
      </c>
      <c r="O82" s="616"/>
      <c r="P82" s="246">
        <v>147</v>
      </c>
      <c r="Q82" s="55" t="s">
        <v>1611</v>
      </c>
      <c r="R82" s="11" t="s">
        <v>1612</v>
      </c>
      <c r="S82" s="11" t="s">
        <v>1613</v>
      </c>
      <c r="T82" s="11" t="s">
        <v>52</v>
      </c>
      <c r="U82" s="11" t="s">
        <v>52</v>
      </c>
      <c r="V82" s="11" t="s">
        <v>1614</v>
      </c>
      <c r="W82" s="235">
        <v>220</v>
      </c>
      <c r="X82" s="618"/>
      <c r="Y82" s="235"/>
      <c r="Z82" s="11" t="s">
        <v>1615</v>
      </c>
      <c r="AA82" s="11" t="s">
        <v>1616</v>
      </c>
      <c r="AB82" s="11" t="s">
        <v>52</v>
      </c>
      <c r="AC82" s="16" t="s">
        <v>52</v>
      </c>
      <c r="AD82" s="16" t="s">
        <v>52</v>
      </c>
      <c r="AE82" s="16" t="s">
        <v>52</v>
      </c>
      <c r="AF82" s="19" t="s">
        <v>52</v>
      </c>
      <c r="AG82" s="19" t="s">
        <v>52</v>
      </c>
      <c r="AH82" s="19" t="s">
        <v>52</v>
      </c>
      <c r="AI82" s="594"/>
      <c r="AJ82" s="16" t="s">
        <v>52</v>
      </c>
      <c r="AK82" s="16" t="s">
        <v>52</v>
      </c>
      <c r="AL82" s="16" t="s">
        <v>52</v>
      </c>
      <c r="AM82" s="239"/>
      <c r="AN82" s="593"/>
      <c r="AO82" s="11" t="s">
        <v>52</v>
      </c>
      <c r="AP82" s="11" t="s">
        <v>52</v>
      </c>
      <c r="AQ82" s="11" t="s">
        <v>52</v>
      </c>
      <c r="AR82" s="11" t="s">
        <v>52</v>
      </c>
      <c r="AS82" s="588"/>
      <c r="AT82" s="11" t="s">
        <v>52</v>
      </c>
      <c r="AU82" s="11" t="s">
        <v>52</v>
      </c>
      <c r="AV82" s="588"/>
      <c r="AW82" s="11" t="s">
        <v>52</v>
      </c>
      <c r="AX82" s="11" t="s">
        <v>52</v>
      </c>
      <c r="AY82" s="11" t="s">
        <v>52</v>
      </c>
      <c r="AZ82" s="11" t="s">
        <v>52</v>
      </c>
      <c r="BA82" s="55" t="s">
        <v>1617</v>
      </c>
      <c r="BB82" s="11" t="s">
        <v>52</v>
      </c>
      <c r="BC82" s="11" t="s">
        <v>52</v>
      </c>
      <c r="BD82" s="11" t="s">
        <v>52</v>
      </c>
      <c r="BE82" s="55" t="s">
        <v>1618</v>
      </c>
      <c r="BF82" s="11" t="s">
        <v>52</v>
      </c>
      <c r="BG82" s="11" t="s">
        <v>52</v>
      </c>
      <c r="BH82" s="11" t="s">
        <v>52</v>
      </c>
      <c r="BI82" s="11" t="s">
        <v>52</v>
      </c>
      <c r="BJ82" s="11" t="s">
        <v>52</v>
      </c>
      <c r="BK82" s="11" t="s">
        <v>52</v>
      </c>
      <c r="BL82" s="11" t="s">
        <v>52</v>
      </c>
      <c r="BM82" s="11" t="s">
        <v>52</v>
      </c>
      <c r="BN82" s="11" t="s">
        <v>52</v>
      </c>
      <c r="BO82" s="11" t="s">
        <v>52</v>
      </c>
      <c r="BP82" s="588"/>
      <c r="BQ82" s="588"/>
      <c r="BR82" s="689"/>
      <c r="BS82" s="689"/>
      <c r="BT82" s="56"/>
    </row>
    <row r="83" spans="1:72" s="8" customFormat="1" ht="15" customHeight="1">
      <c r="A83" s="637" t="s">
        <v>1883</v>
      </c>
      <c r="B83" s="588" t="s">
        <v>1619</v>
      </c>
      <c r="C83" s="650" t="s">
        <v>1620</v>
      </c>
      <c r="D83" s="612" t="s">
        <v>1621</v>
      </c>
      <c r="E83" s="588" t="s">
        <v>1417</v>
      </c>
      <c r="F83" s="11" t="s">
        <v>489</v>
      </c>
      <c r="G83" s="588" t="s">
        <v>1622</v>
      </c>
      <c r="H83" s="588" t="s">
        <v>1623</v>
      </c>
      <c r="I83" s="612" t="s">
        <v>1624</v>
      </c>
      <c r="J83" s="235">
        <v>103</v>
      </c>
      <c r="K83" s="589">
        <v>202</v>
      </c>
      <c r="L83" s="183">
        <v>74</v>
      </c>
      <c r="M83" s="588">
        <v>74</v>
      </c>
      <c r="N83" s="74">
        <v>57</v>
      </c>
      <c r="O83" s="615">
        <v>111</v>
      </c>
      <c r="P83" s="246">
        <v>57</v>
      </c>
      <c r="Q83" s="55" t="s">
        <v>1625</v>
      </c>
      <c r="R83" s="11" t="s">
        <v>1626</v>
      </c>
      <c r="S83" s="11" t="s">
        <v>1627</v>
      </c>
      <c r="T83" s="22" t="s">
        <v>52</v>
      </c>
      <c r="U83" s="22" t="s">
        <v>52</v>
      </c>
      <c r="V83" s="11" t="s">
        <v>1628</v>
      </c>
      <c r="W83" s="235">
        <v>71</v>
      </c>
      <c r="X83" s="617">
        <f>W83+W84</f>
        <v>141</v>
      </c>
      <c r="Y83" s="235"/>
      <c r="Z83" s="54" t="s">
        <v>1629</v>
      </c>
      <c r="AA83" s="54" t="s">
        <v>1630</v>
      </c>
      <c r="AB83" s="22" t="s">
        <v>52</v>
      </c>
      <c r="AC83" s="16" t="s">
        <v>52</v>
      </c>
      <c r="AD83" s="16" t="s">
        <v>52</v>
      </c>
      <c r="AE83" s="16" t="s">
        <v>52</v>
      </c>
      <c r="AF83" s="16" t="s">
        <v>52</v>
      </c>
      <c r="AG83" s="16" t="s">
        <v>52</v>
      </c>
      <c r="AH83" s="16" t="s">
        <v>52</v>
      </c>
      <c r="AI83" s="594" t="s">
        <v>52</v>
      </c>
      <c r="AJ83" s="16" t="s">
        <v>52</v>
      </c>
      <c r="AK83" s="16" t="s">
        <v>52</v>
      </c>
      <c r="AL83" s="16" t="s">
        <v>52</v>
      </c>
      <c r="AM83" s="239"/>
      <c r="AN83" s="593" t="s">
        <v>52</v>
      </c>
      <c r="AO83" s="11" t="s">
        <v>52</v>
      </c>
      <c r="AP83" s="11">
        <v>114</v>
      </c>
      <c r="AQ83" s="11" t="s">
        <v>52</v>
      </c>
      <c r="AR83" s="54" t="s">
        <v>1631</v>
      </c>
      <c r="AS83" s="588" t="s">
        <v>52</v>
      </c>
      <c r="AT83" s="22" t="s">
        <v>52</v>
      </c>
      <c r="AU83" s="22" t="s">
        <v>52</v>
      </c>
      <c r="AV83" s="588" t="s">
        <v>52</v>
      </c>
      <c r="AW83" s="11" t="s">
        <v>52</v>
      </c>
      <c r="AX83" s="11" t="s">
        <v>52</v>
      </c>
      <c r="AY83" s="11" t="s">
        <v>52</v>
      </c>
      <c r="AZ83" s="11" t="s">
        <v>52</v>
      </c>
      <c r="BA83" s="54" t="s">
        <v>1617</v>
      </c>
      <c r="BB83" s="54" t="s">
        <v>52</v>
      </c>
      <c r="BC83" s="54" t="s">
        <v>52</v>
      </c>
      <c r="BD83" s="54" t="s">
        <v>52</v>
      </c>
      <c r="BE83" s="54" t="s">
        <v>1632</v>
      </c>
      <c r="BF83" s="11" t="s">
        <v>52</v>
      </c>
      <c r="BG83" s="11" t="s">
        <v>52</v>
      </c>
      <c r="BH83" s="11" t="s">
        <v>52</v>
      </c>
      <c r="BI83" s="11" t="s">
        <v>52</v>
      </c>
      <c r="BJ83" s="11" t="s">
        <v>52</v>
      </c>
      <c r="BK83" s="11" t="s">
        <v>52</v>
      </c>
      <c r="BL83" s="11" t="s">
        <v>52</v>
      </c>
      <c r="BM83" s="55" t="s">
        <v>1633</v>
      </c>
      <c r="BN83" s="11" t="s">
        <v>52</v>
      </c>
      <c r="BO83" s="11" t="s">
        <v>52</v>
      </c>
      <c r="BP83" s="588" t="s">
        <v>52</v>
      </c>
      <c r="BQ83" s="588" t="s">
        <v>52</v>
      </c>
      <c r="BR83" s="588" t="s">
        <v>722</v>
      </c>
      <c r="BS83" s="588" t="s">
        <v>1884</v>
      </c>
      <c r="BT83" s="53"/>
    </row>
    <row r="84" spans="1:72" s="8" customFormat="1" ht="15" customHeight="1">
      <c r="A84" s="638"/>
      <c r="B84" s="588"/>
      <c r="C84" s="650"/>
      <c r="D84" s="612"/>
      <c r="E84" s="588"/>
      <c r="F84" s="11" t="s">
        <v>1634</v>
      </c>
      <c r="G84" s="588"/>
      <c r="H84" s="588"/>
      <c r="I84" s="612"/>
      <c r="J84" s="235">
        <v>99</v>
      </c>
      <c r="K84" s="590"/>
      <c r="L84" s="183">
        <v>74</v>
      </c>
      <c r="M84" s="588"/>
      <c r="N84" s="74">
        <v>54</v>
      </c>
      <c r="O84" s="616"/>
      <c r="P84" s="246">
        <v>54</v>
      </c>
      <c r="Q84" s="55" t="s">
        <v>1635</v>
      </c>
      <c r="R84" s="11" t="s">
        <v>1636</v>
      </c>
      <c r="S84" s="11" t="s">
        <v>1637</v>
      </c>
      <c r="T84" s="22" t="s">
        <v>52</v>
      </c>
      <c r="U84" s="22" t="s">
        <v>52</v>
      </c>
      <c r="V84" s="54" t="s">
        <v>1638</v>
      </c>
      <c r="W84" s="238">
        <v>70</v>
      </c>
      <c r="X84" s="618"/>
      <c r="Y84" s="238"/>
      <c r="Z84" s="54" t="s">
        <v>1639</v>
      </c>
      <c r="AA84" s="54" t="s">
        <v>1640</v>
      </c>
      <c r="AB84" s="22" t="s">
        <v>52</v>
      </c>
      <c r="AC84" s="16" t="s">
        <v>52</v>
      </c>
      <c r="AD84" s="16" t="s">
        <v>52</v>
      </c>
      <c r="AE84" s="16" t="s">
        <v>52</v>
      </c>
      <c r="AF84" s="19" t="s">
        <v>52</v>
      </c>
      <c r="AG84" s="19" t="s">
        <v>52</v>
      </c>
      <c r="AH84" s="19" t="s">
        <v>52</v>
      </c>
      <c r="AI84" s="594"/>
      <c r="AJ84" s="16" t="s">
        <v>52</v>
      </c>
      <c r="AK84" s="16" t="s">
        <v>52</v>
      </c>
      <c r="AL84" s="16" t="s">
        <v>52</v>
      </c>
      <c r="AM84" s="239"/>
      <c r="AN84" s="593"/>
      <c r="AO84" s="11" t="s">
        <v>52</v>
      </c>
      <c r="AP84" s="11" t="s">
        <v>52</v>
      </c>
      <c r="AQ84" s="11" t="s">
        <v>52</v>
      </c>
      <c r="AR84" s="11" t="s">
        <v>52</v>
      </c>
      <c r="AS84" s="588"/>
      <c r="AT84" s="22" t="s">
        <v>52</v>
      </c>
      <c r="AU84" s="22" t="s">
        <v>52</v>
      </c>
      <c r="AV84" s="588"/>
      <c r="AW84" s="11" t="s">
        <v>52</v>
      </c>
      <c r="AX84" s="11" t="s">
        <v>52</v>
      </c>
      <c r="AY84" s="11" t="s">
        <v>52</v>
      </c>
      <c r="AZ84" s="11" t="s">
        <v>52</v>
      </c>
      <c r="BA84" s="54" t="s">
        <v>1617</v>
      </c>
      <c r="BB84" s="54" t="s">
        <v>52</v>
      </c>
      <c r="BC84" s="54" t="s">
        <v>52</v>
      </c>
      <c r="BD84" s="54" t="s">
        <v>52</v>
      </c>
      <c r="BE84" s="54" t="s">
        <v>1618</v>
      </c>
      <c r="BF84" s="11" t="s">
        <v>52</v>
      </c>
      <c r="BG84" s="11" t="s">
        <v>52</v>
      </c>
      <c r="BH84" s="11" t="s">
        <v>52</v>
      </c>
      <c r="BI84" s="11" t="s">
        <v>52</v>
      </c>
      <c r="BJ84" s="11" t="s">
        <v>52</v>
      </c>
      <c r="BK84" s="11" t="s">
        <v>52</v>
      </c>
      <c r="BL84" s="11" t="s">
        <v>52</v>
      </c>
      <c r="BM84" s="55" t="s">
        <v>1641</v>
      </c>
      <c r="BN84" s="11" t="s">
        <v>52</v>
      </c>
      <c r="BO84" s="11" t="s">
        <v>52</v>
      </c>
      <c r="BP84" s="588"/>
      <c r="BQ84" s="588"/>
      <c r="BR84" s="588"/>
      <c r="BS84" s="588"/>
      <c r="BT84" s="53"/>
    </row>
    <row r="85" spans="1:72" ht="15" customHeight="1">
      <c r="A85" s="637" t="s">
        <v>1883</v>
      </c>
      <c r="B85" s="605" t="s">
        <v>1642</v>
      </c>
      <c r="C85" s="650" t="s">
        <v>1643</v>
      </c>
      <c r="D85" s="662" t="s">
        <v>1644</v>
      </c>
      <c r="E85" s="662" t="s">
        <v>1645</v>
      </c>
      <c r="F85" s="11" t="s">
        <v>1599</v>
      </c>
      <c r="G85" s="588" t="s">
        <v>1646</v>
      </c>
      <c r="H85" s="588" t="s">
        <v>1647</v>
      </c>
      <c r="I85" s="612" t="s">
        <v>1648</v>
      </c>
      <c r="J85" s="235">
        <v>59</v>
      </c>
      <c r="K85" s="569">
        <v>180</v>
      </c>
      <c r="L85" s="235">
        <v>65</v>
      </c>
      <c r="M85" s="588">
        <v>65</v>
      </c>
      <c r="N85" s="74" t="s">
        <v>52</v>
      </c>
      <c r="O85" s="606" t="s">
        <v>52</v>
      </c>
      <c r="P85" s="246" t="s">
        <v>52</v>
      </c>
      <c r="Q85" s="55" t="s">
        <v>1649</v>
      </c>
      <c r="R85" s="11" t="s">
        <v>1650</v>
      </c>
      <c r="S85" s="11" t="s">
        <v>52</v>
      </c>
      <c r="T85" s="11" t="s">
        <v>52</v>
      </c>
      <c r="U85" s="11" t="s">
        <v>52</v>
      </c>
      <c r="V85" s="11" t="s">
        <v>52</v>
      </c>
      <c r="W85" s="235" t="s">
        <v>52</v>
      </c>
      <c r="X85" s="606" t="str">
        <f>W85</f>
        <v>NR</v>
      </c>
      <c r="Y85" s="235"/>
      <c r="Z85" s="11" t="s">
        <v>52</v>
      </c>
      <c r="AA85" s="11" t="s">
        <v>52</v>
      </c>
      <c r="AB85" s="11" t="s">
        <v>52</v>
      </c>
      <c r="AC85" s="16" t="s">
        <v>52</v>
      </c>
      <c r="AD85" s="16" t="s">
        <v>52</v>
      </c>
      <c r="AE85" s="16" t="s">
        <v>52</v>
      </c>
      <c r="AF85" s="19" t="s">
        <v>52</v>
      </c>
      <c r="AG85" s="19" t="s">
        <v>52</v>
      </c>
      <c r="AH85" s="19" t="s">
        <v>52</v>
      </c>
      <c r="AI85" s="594" t="s">
        <v>52</v>
      </c>
      <c r="AJ85" s="16" t="s">
        <v>52</v>
      </c>
      <c r="AK85" s="16" t="s">
        <v>52</v>
      </c>
      <c r="AL85" s="16" t="s">
        <v>52</v>
      </c>
      <c r="AM85" s="239"/>
      <c r="AN85" s="593" t="s">
        <v>52</v>
      </c>
      <c r="AO85" s="11" t="s">
        <v>52</v>
      </c>
      <c r="AP85" s="11" t="s">
        <v>52</v>
      </c>
      <c r="AQ85" s="11" t="s">
        <v>52</v>
      </c>
      <c r="AR85" s="11" t="s">
        <v>52</v>
      </c>
      <c r="AS85" s="604" t="s">
        <v>52</v>
      </c>
      <c r="AT85" s="11" t="s">
        <v>52</v>
      </c>
      <c r="AU85" s="11" t="s">
        <v>52</v>
      </c>
      <c r="AV85" s="604" t="s">
        <v>52</v>
      </c>
      <c r="AW85" s="11" t="s">
        <v>52</v>
      </c>
      <c r="AX85" s="11" t="s">
        <v>52</v>
      </c>
      <c r="AY85" s="11" t="s">
        <v>52</v>
      </c>
      <c r="AZ85" s="11" t="s">
        <v>52</v>
      </c>
      <c r="BA85" s="11" t="s">
        <v>52</v>
      </c>
      <c r="BB85" s="11" t="s">
        <v>52</v>
      </c>
      <c r="BC85" s="11" t="s">
        <v>52</v>
      </c>
      <c r="BD85" s="11" t="s">
        <v>52</v>
      </c>
      <c r="BE85" s="11" t="s">
        <v>52</v>
      </c>
      <c r="BF85" s="11" t="s">
        <v>52</v>
      </c>
      <c r="BG85" s="11" t="s">
        <v>52</v>
      </c>
      <c r="BH85" s="11" t="s">
        <v>52</v>
      </c>
      <c r="BI85" s="11" t="s">
        <v>52</v>
      </c>
      <c r="BJ85" s="11" t="s">
        <v>52</v>
      </c>
      <c r="BK85" s="11" t="s">
        <v>52</v>
      </c>
      <c r="BL85" s="11" t="s">
        <v>52</v>
      </c>
      <c r="BM85" s="11" t="s">
        <v>1651</v>
      </c>
      <c r="BN85" s="11" t="s">
        <v>52</v>
      </c>
      <c r="BO85" s="11" t="s">
        <v>52</v>
      </c>
      <c r="BP85" s="588" t="s">
        <v>52</v>
      </c>
      <c r="BQ85" s="588" t="s">
        <v>52</v>
      </c>
      <c r="BR85" s="588" t="s">
        <v>722</v>
      </c>
      <c r="BS85" s="588" t="s">
        <v>1652</v>
      </c>
      <c r="BT85" s="56"/>
    </row>
    <row r="86" spans="1:72" ht="15" customHeight="1">
      <c r="A86" s="645"/>
      <c r="B86" s="605"/>
      <c r="C86" s="650"/>
      <c r="D86" s="662"/>
      <c r="E86" s="662"/>
      <c r="F86" s="11" t="s">
        <v>1653</v>
      </c>
      <c r="G86" s="588"/>
      <c r="H86" s="588"/>
      <c r="I86" s="612"/>
      <c r="J86" s="235">
        <v>59</v>
      </c>
      <c r="K86" s="620"/>
      <c r="L86" s="235">
        <v>65</v>
      </c>
      <c r="M86" s="588"/>
      <c r="N86" s="74" t="s">
        <v>52</v>
      </c>
      <c r="O86" s="606"/>
      <c r="P86" s="246" t="s">
        <v>52</v>
      </c>
      <c r="Q86" s="55" t="s">
        <v>1654</v>
      </c>
      <c r="R86" s="11" t="s">
        <v>1655</v>
      </c>
      <c r="S86" s="11" t="s">
        <v>52</v>
      </c>
      <c r="T86" s="11" t="s">
        <v>52</v>
      </c>
      <c r="U86" s="11" t="s">
        <v>52</v>
      </c>
      <c r="V86" s="11" t="s">
        <v>52</v>
      </c>
      <c r="W86" s="235" t="s">
        <v>52</v>
      </c>
      <c r="X86" s="606"/>
      <c r="Y86" s="235"/>
      <c r="Z86" s="11" t="s">
        <v>52</v>
      </c>
      <c r="AA86" s="11" t="s">
        <v>52</v>
      </c>
      <c r="AB86" s="11" t="s">
        <v>52</v>
      </c>
      <c r="AC86" s="16" t="s">
        <v>52</v>
      </c>
      <c r="AD86" s="16" t="s">
        <v>52</v>
      </c>
      <c r="AE86" s="16" t="s">
        <v>52</v>
      </c>
      <c r="AF86" s="16" t="s">
        <v>52</v>
      </c>
      <c r="AG86" s="16" t="s">
        <v>52</v>
      </c>
      <c r="AH86" s="16" t="s">
        <v>52</v>
      </c>
      <c r="AI86" s="594"/>
      <c r="AJ86" s="16" t="s">
        <v>52</v>
      </c>
      <c r="AK86" s="16" t="s">
        <v>52</v>
      </c>
      <c r="AL86" s="16" t="s">
        <v>52</v>
      </c>
      <c r="AM86" s="239"/>
      <c r="AN86" s="593"/>
      <c r="AO86" s="11" t="s">
        <v>52</v>
      </c>
      <c r="AP86" s="11" t="s">
        <v>52</v>
      </c>
      <c r="AQ86" s="11" t="s">
        <v>52</v>
      </c>
      <c r="AR86" s="11" t="s">
        <v>52</v>
      </c>
      <c r="AS86" s="604"/>
      <c r="AT86" s="11" t="s">
        <v>52</v>
      </c>
      <c r="AU86" s="11" t="s">
        <v>52</v>
      </c>
      <c r="AV86" s="604"/>
      <c r="AW86" s="11" t="s">
        <v>52</v>
      </c>
      <c r="AX86" s="11" t="s">
        <v>52</v>
      </c>
      <c r="AY86" s="11" t="s">
        <v>52</v>
      </c>
      <c r="AZ86" s="11" t="s">
        <v>52</v>
      </c>
      <c r="BA86" s="11" t="s">
        <v>52</v>
      </c>
      <c r="BB86" s="11" t="s">
        <v>52</v>
      </c>
      <c r="BC86" s="11" t="s">
        <v>52</v>
      </c>
      <c r="BD86" s="11" t="s">
        <v>52</v>
      </c>
      <c r="BE86" s="11" t="s">
        <v>52</v>
      </c>
      <c r="BF86" s="11" t="s">
        <v>52</v>
      </c>
      <c r="BG86" s="11" t="s">
        <v>52</v>
      </c>
      <c r="BH86" s="11" t="s">
        <v>52</v>
      </c>
      <c r="BI86" s="11" t="s">
        <v>52</v>
      </c>
      <c r="BJ86" s="11" t="s">
        <v>52</v>
      </c>
      <c r="BK86" s="11" t="s">
        <v>52</v>
      </c>
      <c r="BL86" s="11" t="s">
        <v>52</v>
      </c>
      <c r="BM86" s="11" t="s">
        <v>1656</v>
      </c>
      <c r="BN86" s="11" t="s">
        <v>52</v>
      </c>
      <c r="BO86" s="11" t="s">
        <v>52</v>
      </c>
      <c r="BP86" s="588"/>
      <c r="BQ86" s="588"/>
      <c r="BR86" s="588"/>
      <c r="BS86" s="588"/>
      <c r="BT86" s="56"/>
    </row>
    <row r="87" spans="1:72" ht="15" customHeight="1">
      <c r="A87" s="638"/>
      <c r="B87" s="605"/>
      <c r="C87" s="650"/>
      <c r="D87" s="662"/>
      <c r="E87" s="662"/>
      <c r="F87" s="11" t="s">
        <v>1657</v>
      </c>
      <c r="G87" s="588"/>
      <c r="H87" s="588"/>
      <c r="I87" s="612"/>
      <c r="J87" s="235">
        <v>62</v>
      </c>
      <c r="K87" s="570"/>
      <c r="L87" s="235">
        <v>65.5</v>
      </c>
      <c r="M87" s="588"/>
      <c r="N87" s="74" t="s">
        <v>52</v>
      </c>
      <c r="O87" s="606"/>
      <c r="P87" s="246" t="s">
        <v>52</v>
      </c>
      <c r="Q87" s="55" t="s">
        <v>1658</v>
      </c>
      <c r="R87" s="11" t="s">
        <v>1659</v>
      </c>
      <c r="S87" s="11" t="s">
        <v>52</v>
      </c>
      <c r="T87" s="11" t="s">
        <v>52</v>
      </c>
      <c r="U87" s="11" t="s">
        <v>52</v>
      </c>
      <c r="V87" s="11" t="s">
        <v>52</v>
      </c>
      <c r="W87" s="235" t="s">
        <v>52</v>
      </c>
      <c r="X87" s="606"/>
      <c r="Y87" s="235"/>
      <c r="Z87" s="11" t="s">
        <v>52</v>
      </c>
      <c r="AA87" s="11" t="s">
        <v>52</v>
      </c>
      <c r="AB87" s="11" t="s">
        <v>52</v>
      </c>
      <c r="AC87" s="16" t="s">
        <v>52</v>
      </c>
      <c r="AD87" s="16" t="s">
        <v>52</v>
      </c>
      <c r="AE87" s="16" t="s">
        <v>52</v>
      </c>
      <c r="AF87" s="16" t="s">
        <v>52</v>
      </c>
      <c r="AG87" s="16" t="s">
        <v>52</v>
      </c>
      <c r="AH87" s="16" t="s">
        <v>52</v>
      </c>
      <c r="AI87" s="594"/>
      <c r="AJ87" s="16" t="s">
        <v>52</v>
      </c>
      <c r="AK87" s="16" t="s">
        <v>52</v>
      </c>
      <c r="AL87" s="16" t="s">
        <v>52</v>
      </c>
      <c r="AM87" s="239"/>
      <c r="AN87" s="593"/>
      <c r="AO87" s="11" t="s">
        <v>52</v>
      </c>
      <c r="AP87" s="11" t="s">
        <v>52</v>
      </c>
      <c r="AQ87" s="11" t="s">
        <v>52</v>
      </c>
      <c r="AR87" s="11" t="s">
        <v>52</v>
      </c>
      <c r="AS87" s="604"/>
      <c r="AT87" s="11" t="s">
        <v>52</v>
      </c>
      <c r="AU87" s="11" t="s">
        <v>52</v>
      </c>
      <c r="AV87" s="604"/>
      <c r="AW87" s="11" t="s">
        <v>52</v>
      </c>
      <c r="AX87" s="11" t="s">
        <v>52</v>
      </c>
      <c r="AY87" s="11" t="s">
        <v>52</v>
      </c>
      <c r="AZ87" s="11" t="s">
        <v>52</v>
      </c>
      <c r="BA87" s="11" t="s">
        <v>52</v>
      </c>
      <c r="BB87" s="11" t="s">
        <v>52</v>
      </c>
      <c r="BC87" s="11" t="s">
        <v>52</v>
      </c>
      <c r="BD87" s="11" t="s">
        <v>52</v>
      </c>
      <c r="BE87" s="11" t="s">
        <v>52</v>
      </c>
      <c r="BF87" s="11" t="s">
        <v>52</v>
      </c>
      <c r="BG87" s="11" t="s">
        <v>52</v>
      </c>
      <c r="BH87" s="11" t="s">
        <v>52</v>
      </c>
      <c r="BI87" s="11" t="s">
        <v>52</v>
      </c>
      <c r="BJ87" s="11" t="s">
        <v>52</v>
      </c>
      <c r="BK87" s="11" t="s">
        <v>52</v>
      </c>
      <c r="BL87" s="11" t="s">
        <v>52</v>
      </c>
      <c r="BM87" s="11" t="s">
        <v>1660</v>
      </c>
      <c r="BN87" s="11" t="s">
        <v>52</v>
      </c>
      <c r="BO87" s="11" t="s">
        <v>52</v>
      </c>
      <c r="BP87" s="588"/>
      <c r="BQ87" s="588"/>
      <c r="BR87" s="588"/>
      <c r="BS87" s="588"/>
      <c r="BT87" s="56"/>
    </row>
    <row r="88" spans="1:72" s="8" customFormat="1" ht="15" customHeight="1">
      <c r="A88" s="637" t="s">
        <v>1883</v>
      </c>
      <c r="B88" s="588" t="s">
        <v>1661</v>
      </c>
      <c r="C88" s="650" t="s">
        <v>1662</v>
      </c>
      <c r="D88" s="588" t="s">
        <v>1663</v>
      </c>
      <c r="E88" s="588" t="s">
        <v>580</v>
      </c>
      <c r="F88" s="11" t="s">
        <v>489</v>
      </c>
      <c r="G88" s="588" t="s">
        <v>1664</v>
      </c>
      <c r="H88" s="588" t="s">
        <v>1665</v>
      </c>
      <c r="I88" s="612" t="s">
        <v>1666</v>
      </c>
      <c r="J88" s="235">
        <v>45</v>
      </c>
      <c r="K88" s="589">
        <v>87</v>
      </c>
      <c r="L88" s="235">
        <v>76</v>
      </c>
      <c r="M88" s="606">
        <v>75.517241379310349</v>
      </c>
      <c r="N88" s="74">
        <v>25</v>
      </c>
      <c r="O88" s="606">
        <v>48</v>
      </c>
      <c r="P88" s="246">
        <v>25</v>
      </c>
      <c r="Q88" s="55" t="s">
        <v>1587</v>
      </c>
      <c r="R88" s="11" t="s">
        <v>622</v>
      </c>
      <c r="S88" s="11" t="s">
        <v>1667</v>
      </c>
      <c r="T88" s="11" t="s">
        <v>1668</v>
      </c>
      <c r="U88" s="11" t="s">
        <v>52</v>
      </c>
      <c r="V88" s="11" t="s">
        <v>1669</v>
      </c>
      <c r="W88" s="235">
        <v>36</v>
      </c>
      <c r="X88" s="617">
        <f>W88+W89</f>
        <v>69</v>
      </c>
      <c r="Y88" s="235"/>
      <c r="Z88" s="11" t="s">
        <v>1670</v>
      </c>
      <c r="AA88" s="11" t="s">
        <v>1671</v>
      </c>
      <c r="AB88" s="11">
        <v>64</v>
      </c>
      <c r="AC88" s="11">
        <v>45</v>
      </c>
      <c r="AD88" s="21">
        <v>5.2</v>
      </c>
      <c r="AE88" s="11" t="s">
        <v>1672</v>
      </c>
      <c r="AF88" s="11">
        <v>0.63</v>
      </c>
      <c r="AG88" s="11" t="s">
        <v>1673</v>
      </c>
      <c r="AH88" s="11">
        <v>4.7E-2</v>
      </c>
      <c r="AI88" s="594" t="s">
        <v>1674</v>
      </c>
      <c r="AJ88" s="16">
        <v>45</v>
      </c>
      <c r="AK88" s="16" t="s">
        <v>1675</v>
      </c>
      <c r="AL88" s="16" t="s">
        <v>1676</v>
      </c>
      <c r="AM88" s="239"/>
      <c r="AN88" s="593" t="s">
        <v>1677</v>
      </c>
      <c r="AO88" s="22">
        <v>45</v>
      </c>
      <c r="AP88" s="11" t="s">
        <v>52</v>
      </c>
      <c r="AQ88" s="54">
        <v>63.5</v>
      </c>
      <c r="AR88" s="54" t="s">
        <v>1678</v>
      </c>
      <c r="AS88" s="614" t="s">
        <v>1679</v>
      </c>
      <c r="AT88" s="22" t="s">
        <v>52</v>
      </c>
      <c r="AU88" s="22" t="s">
        <v>52</v>
      </c>
      <c r="AV88" s="605" t="s">
        <v>52</v>
      </c>
      <c r="AW88" s="11">
        <v>45</v>
      </c>
      <c r="AX88" s="22" t="s">
        <v>52</v>
      </c>
      <c r="AY88" s="11" t="s">
        <v>1680</v>
      </c>
      <c r="AZ88" s="22" t="s">
        <v>52</v>
      </c>
      <c r="BA88" s="22" t="s">
        <v>52</v>
      </c>
      <c r="BB88" s="22" t="s">
        <v>52</v>
      </c>
      <c r="BC88" s="22" t="s">
        <v>52</v>
      </c>
      <c r="BD88" s="22" t="s">
        <v>52</v>
      </c>
      <c r="BE88" s="22" t="s">
        <v>1681</v>
      </c>
      <c r="BF88" s="22" t="s">
        <v>1681</v>
      </c>
      <c r="BG88" s="11" t="s">
        <v>1682</v>
      </c>
      <c r="BH88" s="22" t="s">
        <v>52</v>
      </c>
      <c r="BI88" s="22" t="s">
        <v>52</v>
      </c>
      <c r="BJ88" s="11" t="s">
        <v>1683</v>
      </c>
      <c r="BK88" s="22" t="s">
        <v>52</v>
      </c>
      <c r="BL88" s="22" t="s">
        <v>52</v>
      </c>
      <c r="BM88" s="11" t="s">
        <v>1684</v>
      </c>
      <c r="BN88" s="22" t="s">
        <v>52</v>
      </c>
      <c r="BO88" s="11" t="s">
        <v>1681</v>
      </c>
      <c r="BP88" s="588" t="s">
        <v>52</v>
      </c>
      <c r="BQ88" s="588" t="s">
        <v>52</v>
      </c>
      <c r="BR88" s="588" t="s">
        <v>722</v>
      </c>
      <c r="BS88" s="588" t="s">
        <v>1685</v>
      </c>
      <c r="BT88" s="53"/>
    </row>
    <row r="89" spans="1:72" s="8" customFormat="1" ht="15" customHeight="1">
      <c r="A89" s="638"/>
      <c r="B89" s="588"/>
      <c r="C89" s="650"/>
      <c r="D89" s="588"/>
      <c r="E89" s="588"/>
      <c r="F89" s="11" t="s">
        <v>1686</v>
      </c>
      <c r="G89" s="588"/>
      <c r="H89" s="588"/>
      <c r="I89" s="612"/>
      <c r="J89" s="235">
        <v>42</v>
      </c>
      <c r="K89" s="590"/>
      <c r="L89" s="235">
        <v>75</v>
      </c>
      <c r="M89" s="606"/>
      <c r="N89" s="74">
        <v>23</v>
      </c>
      <c r="O89" s="606"/>
      <c r="P89" s="246">
        <v>23</v>
      </c>
      <c r="Q89" s="55" t="s">
        <v>1687</v>
      </c>
      <c r="R89" s="11" t="s">
        <v>622</v>
      </c>
      <c r="S89" s="11" t="s">
        <v>1688</v>
      </c>
      <c r="T89" s="11" t="s">
        <v>1689</v>
      </c>
      <c r="U89" s="11" t="s">
        <v>52</v>
      </c>
      <c r="V89" s="11" t="s">
        <v>1690</v>
      </c>
      <c r="W89" s="235">
        <v>33</v>
      </c>
      <c r="X89" s="618"/>
      <c r="Y89" s="235"/>
      <c r="Z89" s="11" t="s">
        <v>1691</v>
      </c>
      <c r="AA89" s="11" t="s">
        <v>1692</v>
      </c>
      <c r="AB89" s="11">
        <v>85</v>
      </c>
      <c r="AC89" s="11">
        <v>42</v>
      </c>
      <c r="AD89" s="21">
        <v>8</v>
      </c>
      <c r="AE89" s="11" t="s">
        <v>1693</v>
      </c>
      <c r="AF89" s="19" t="s">
        <v>52</v>
      </c>
      <c r="AG89" s="19" t="s">
        <v>52</v>
      </c>
      <c r="AH89" s="19" t="s">
        <v>52</v>
      </c>
      <c r="AI89" s="594"/>
      <c r="AJ89" s="16">
        <v>42</v>
      </c>
      <c r="AK89" s="16" t="s">
        <v>1694</v>
      </c>
      <c r="AL89" s="16" t="s">
        <v>1695</v>
      </c>
      <c r="AM89" s="239"/>
      <c r="AN89" s="593"/>
      <c r="AO89" s="22">
        <v>42</v>
      </c>
      <c r="AP89" s="11" t="s">
        <v>52</v>
      </c>
      <c r="AQ89" s="54">
        <v>71</v>
      </c>
      <c r="AR89" s="54" t="s">
        <v>1696</v>
      </c>
      <c r="AS89" s="614"/>
      <c r="AT89" s="22" t="s">
        <v>52</v>
      </c>
      <c r="AU89" s="22" t="s">
        <v>52</v>
      </c>
      <c r="AV89" s="605"/>
      <c r="AW89" s="11">
        <v>42</v>
      </c>
      <c r="AX89" s="22" t="s">
        <v>52</v>
      </c>
      <c r="AY89" s="11" t="s">
        <v>1697</v>
      </c>
      <c r="AZ89" s="22" t="s">
        <v>52</v>
      </c>
      <c r="BA89" s="22" t="s">
        <v>52</v>
      </c>
      <c r="BB89" s="22" t="s">
        <v>52</v>
      </c>
      <c r="BC89" s="22" t="s">
        <v>52</v>
      </c>
      <c r="BD89" s="22" t="s">
        <v>52</v>
      </c>
      <c r="BE89" s="11" t="s">
        <v>1698</v>
      </c>
      <c r="BF89" s="22" t="s">
        <v>1699</v>
      </c>
      <c r="BG89" s="11" t="s">
        <v>1700</v>
      </c>
      <c r="BH89" s="22" t="s">
        <v>52</v>
      </c>
      <c r="BI89" s="22" t="s">
        <v>52</v>
      </c>
      <c r="BJ89" s="11" t="s">
        <v>1701</v>
      </c>
      <c r="BK89" s="22" t="s">
        <v>52</v>
      </c>
      <c r="BL89" s="22" t="s">
        <v>52</v>
      </c>
      <c r="BM89" s="11" t="s">
        <v>1702</v>
      </c>
      <c r="BN89" s="22" t="s">
        <v>52</v>
      </c>
      <c r="BO89" s="11" t="s">
        <v>1701</v>
      </c>
      <c r="BP89" s="588"/>
      <c r="BQ89" s="588"/>
      <c r="BR89" s="588"/>
      <c r="BS89" s="588"/>
      <c r="BT89" s="53"/>
    </row>
    <row r="90" spans="1:72" s="8" customFormat="1" ht="15" customHeight="1">
      <c r="A90" s="637" t="s">
        <v>1882</v>
      </c>
      <c r="B90" s="649" t="s">
        <v>1703</v>
      </c>
      <c r="C90" s="660" t="s">
        <v>1704</v>
      </c>
      <c r="D90" s="661" t="s">
        <v>1705</v>
      </c>
      <c r="E90" s="661" t="s">
        <v>1706</v>
      </c>
      <c r="F90" s="11" t="s">
        <v>1707</v>
      </c>
      <c r="G90" s="569" t="s">
        <v>1708</v>
      </c>
      <c r="H90" s="588" t="s">
        <v>1709</v>
      </c>
      <c r="I90" s="612" t="s">
        <v>1709</v>
      </c>
      <c r="J90" s="235">
        <v>122</v>
      </c>
      <c r="K90" s="623">
        <v>245</v>
      </c>
      <c r="L90" s="235" t="s">
        <v>52</v>
      </c>
      <c r="M90" s="615">
        <v>76</v>
      </c>
      <c r="N90" s="258">
        <v>73</v>
      </c>
      <c r="O90" s="615">
        <v>147</v>
      </c>
      <c r="P90" s="259">
        <v>73</v>
      </c>
      <c r="Q90" s="602" t="s">
        <v>1710</v>
      </c>
      <c r="R90" s="629" t="s">
        <v>52</v>
      </c>
      <c r="S90" s="569" t="s">
        <v>1711</v>
      </c>
      <c r="T90" s="569" t="s">
        <v>52</v>
      </c>
      <c r="U90" s="569" t="s">
        <v>52</v>
      </c>
      <c r="V90" s="569" t="s">
        <v>52</v>
      </c>
      <c r="W90" s="237" t="s">
        <v>52</v>
      </c>
      <c r="X90" s="617" t="e">
        <f>W90+W91</f>
        <v>#VALUE!</v>
      </c>
      <c r="Y90" s="237"/>
      <c r="Z90" s="621" t="s">
        <v>1712</v>
      </c>
      <c r="AA90" s="569" t="s">
        <v>1713</v>
      </c>
      <c r="AB90" s="11" t="s">
        <v>52</v>
      </c>
      <c r="AC90" s="43">
        <v>122</v>
      </c>
      <c r="AD90" s="51">
        <v>28.4</v>
      </c>
      <c r="AE90" s="43" t="s">
        <v>52</v>
      </c>
      <c r="AF90" s="16">
        <v>1.2</v>
      </c>
      <c r="AG90" s="16" t="s">
        <v>1714</v>
      </c>
      <c r="AH90" s="52">
        <v>0.2</v>
      </c>
      <c r="AI90" s="598" t="s">
        <v>1715</v>
      </c>
      <c r="AJ90" s="16">
        <v>122</v>
      </c>
      <c r="AK90" s="16" t="s">
        <v>1717</v>
      </c>
      <c r="AL90" s="16" t="s">
        <v>1716</v>
      </c>
      <c r="AM90" s="249"/>
      <c r="AN90" s="627" t="s">
        <v>1718</v>
      </c>
      <c r="AO90" s="11" t="s">
        <v>52</v>
      </c>
      <c r="AP90" s="11" t="s">
        <v>52</v>
      </c>
      <c r="AQ90" s="11" t="s">
        <v>52</v>
      </c>
      <c r="AR90" s="11" t="s">
        <v>52</v>
      </c>
      <c r="AS90" s="569" t="s">
        <v>52</v>
      </c>
      <c r="AT90" s="11" t="s">
        <v>52</v>
      </c>
      <c r="AU90" s="11" t="s">
        <v>52</v>
      </c>
      <c r="AV90" s="11" t="s">
        <v>52</v>
      </c>
      <c r="AW90" s="11" t="s">
        <v>52</v>
      </c>
      <c r="AX90" s="11" t="s">
        <v>52</v>
      </c>
      <c r="AY90" s="11" t="s">
        <v>52</v>
      </c>
      <c r="AZ90" s="11" t="s">
        <v>52</v>
      </c>
      <c r="BA90" s="11" t="s">
        <v>52</v>
      </c>
      <c r="BB90" s="11" t="s">
        <v>52</v>
      </c>
      <c r="BC90" s="11" t="s">
        <v>52</v>
      </c>
      <c r="BD90" s="11" t="s">
        <v>52</v>
      </c>
      <c r="BE90" s="11" t="s">
        <v>52</v>
      </c>
      <c r="BF90" s="11" t="s">
        <v>52</v>
      </c>
      <c r="BG90" s="11" t="s">
        <v>52</v>
      </c>
      <c r="BH90" s="11" t="s">
        <v>52</v>
      </c>
      <c r="BI90" s="11" t="s">
        <v>52</v>
      </c>
      <c r="BJ90" s="11" t="s">
        <v>52</v>
      </c>
      <c r="BK90" s="11" t="s">
        <v>52</v>
      </c>
      <c r="BL90" s="11" t="s">
        <v>52</v>
      </c>
      <c r="BM90" s="11" t="s">
        <v>52</v>
      </c>
      <c r="BN90" s="11" t="s">
        <v>52</v>
      </c>
      <c r="BO90" s="11" t="s">
        <v>52</v>
      </c>
      <c r="BP90" s="588" t="s">
        <v>52</v>
      </c>
      <c r="BQ90" s="588" t="s">
        <v>52</v>
      </c>
      <c r="BR90" s="569" t="s">
        <v>52</v>
      </c>
      <c r="BS90" s="569" t="s">
        <v>52</v>
      </c>
      <c r="BT90" s="50"/>
    </row>
    <row r="91" spans="1:72" s="8" customFormat="1" ht="15" customHeight="1">
      <c r="A91" s="638"/>
      <c r="B91" s="649"/>
      <c r="C91" s="660"/>
      <c r="D91" s="661"/>
      <c r="E91" s="661"/>
      <c r="F91" s="11" t="s">
        <v>1719</v>
      </c>
      <c r="G91" s="570"/>
      <c r="H91" s="588"/>
      <c r="I91" s="612"/>
      <c r="J91" s="235">
        <v>123</v>
      </c>
      <c r="K91" s="624"/>
      <c r="L91" s="235" t="s">
        <v>52</v>
      </c>
      <c r="M91" s="616"/>
      <c r="N91" s="258">
        <v>74</v>
      </c>
      <c r="O91" s="616"/>
      <c r="P91" s="260">
        <v>74</v>
      </c>
      <c r="Q91" s="603"/>
      <c r="R91" s="630"/>
      <c r="S91" s="570"/>
      <c r="T91" s="570"/>
      <c r="U91" s="570"/>
      <c r="V91" s="570"/>
      <c r="W91" s="237" t="s">
        <v>52</v>
      </c>
      <c r="X91" s="618"/>
      <c r="Y91" s="241"/>
      <c r="Z91" s="622"/>
      <c r="AA91" s="570"/>
      <c r="AB91" s="11" t="s">
        <v>52</v>
      </c>
      <c r="AC91" s="43">
        <v>123</v>
      </c>
      <c r="AD91" s="51">
        <v>24</v>
      </c>
      <c r="AE91" s="43" t="s">
        <v>52</v>
      </c>
      <c r="AF91" s="19" t="s">
        <v>52</v>
      </c>
      <c r="AG91" s="19" t="s">
        <v>52</v>
      </c>
      <c r="AH91" s="19" t="s">
        <v>52</v>
      </c>
      <c r="AI91" s="611"/>
      <c r="AJ91" s="16">
        <v>123</v>
      </c>
      <c r="AK91" s="16" t="s">
        <v>1721</v>
      </c>
      <c r="AL91" s="16" t="s">
        <v>1720</v>
      </c>
      <c r="AM91" s="250"/>
      <c r="AN91" s="628"/>
      <c r="AO91" s="11" t="s">
        <v>52</v>
      </c>
      <c r="AP91" s="11" t="s">
        <v>52</v>
      </c>
      <c r="AQ91" s="11" t="s">
        <v>52</v>
      </c>
      <c r="AR91" s="11" t="s">
        <v>52</v>
      </c>
      <c r="AS91" s="570"/>
      <c r="AT91" s="11" t="s">
        <v>52</v>
      </c>
      <c r="AU91" s="11" t="s">
        <v>52</v>
      </c>
      <c r="AV91" s="11" t="s">
        <v>52</v>
      </c>
      <c r="AW91" s="11" t="s">
        <v>52</v>
      </c>
      <c r="AX91" s="11" t="s">
        <v>52</v>
      </c>
      <c r="AY91" s="11" t="s">
        <v>52</v>
      </c>
      <c r="AZ91" s="11" t="s">
        <v>52</v>
      </c>
      <c r="BA91" s="11" t="s">
        <v>52</v>
      </c>
      <c r="BB91" s="11" t="s">
        <v>52</v>
      </c>
      <c r="BC91" s="11" t="s">
        <v>52</v>
      </c>
      <c r="BD91" s="11" t="s">
        <v>52</v>
      </c>
      <c r="BE91" s="11" t="s">
        <v>52</v>
      </c>
      <c r="BF91" s="11" t="s">
        <v>52</v>
      </c>
      <c r="BG91" s="11" t="s">
        <v>52</v>
      </c>
      <c r="BH91" s="11" t="s">
        <v>52</v>
      </c>
      <c r="BI91" s="11" t="s">
        <v>52</v>
      </c>
      <c r="BJ91" s="11" t="s">
        <v>52</v>
      </c>
      <c r="BK91" s="11" t="s">
        <v>52</v>
      </c>
      <c r="BL91" s="11" t="s">
        <v>52</v>
      </c>
      <c r="BM91" s="11" t="s">
        <v>52</v>
      </c>
      <c r="BN91" s="11" t="s">
        <v>52</v>
      </c>
      <c r="BO91" s="11" t="s">
        <v>52</v>
      </c>
      <c r="BP91" s="588"/>
      <c r="BQ91" s="588"/>
      <c r="BR91" s="570"/>
      <c r="BS91" s="570"/>
      <c r="BT91" s="50"/>
    </row>
    <row r="92" spans="1:72" s="8" customFormat="1" ht="15" customHeight="1">
      <c r="A92" s="646" t="s">
        <v>1738</v>
      </c>
      <c r="B92" s="646" t="s">
        <v>1881</v>
      </c>
      <c r="C92" s="643" t="s">
        <v>1880</v>
      </c>
      <c r="D92" s="642" t="s">
        <v>1854</v>
      </c>
      <c r="E92" s="642" t="s">
        <v>1879</v>
      </c>
      <c r="F92" s="26" t="s">
        <v>1805</v>
      </c>
      <c r="G92" s="633" t="s">
        <v>1878</v>
      </c>
      <c r="H92" s="585" t="s">
        <v>1877</v>
      </c>
      <c r="I92" s="585" t="s">
        <v>1876</v>
      </c>
      <c r="J92" s="234">
        <v>118</v>
      </c>
      <c r="K92" s="586">
        <f>J92+J93</f>
        <v>237</v>
      </c>
      <c r="L92" s="245">
        <v>77</v>
      </c>
      <c r="M92" s="586">
        <v>77</v>
      </c>
      <c r="N92" s="266">
        <v>57</v>
      </c>
      <c r="O92" s="615">
        <v>130</v>
      </c>
      <c r="P92" s="275">
        <v>57</v>
      </c>
      <c r="Q92" s="13" t="s">
        <v>1875</v>
      </c>
      <c r="R92" s="13" t="s">
        <v>608</v>
      </c>
      <c r="S92" s="13" t="s">
        <v>1874</v>
      </c>
      <c r="T92" s="13" t="s">
        <v>52</v>
      </c>
      <c r="U92" s="13" t="s">
        <v>52</v>
      </c>
      <c r="V92" s="13" t="s">
        <v>52</v>
      </c>
      <c r="W92" s="245" t="s">
        <v>52</v>
      </c>
      <c r="X92" s="617" t="e">
        <f>W92+W93</f>
        <v>#VALUE!</v>
      </c>
      <c r="Y92" s="245"/>
      <c r="Z92" s="24" t="s">
        <v>1873</v>
      </c>
      <c r="AA92" s="24" t="s">
        <v>740</v>
      </c>
      <c r="AB92" s="41" t="s">
        <v>52</v>
      </c>
      <c r="AC92" s="22">
        <v>113</v>
      </c>
      <c r="AD92" s="22">
        <v>4.9000000000000004</v>
      </c>
      <c r="AE92" s="21" t="s">
        <v>1872</v>
      </c>
      <c r="AF92" s="11">
        <v>0.69</v>
      </c>
      <c r="AG92" s="11" t="s">
        <v>1871</v>
      </c>
      <c r="AH92" s="11">
        <v>5.0000000000000001E-3</v>
      </c>
      <c r="AI92" s="594" t="str">
        <f>"OS months:"&amp;AD92&amp;" vs."&amp;AD93&amp;", HR="&amp;AF92&amp;", HR CI="&amp;AG92&amp;", p="&amp;AH92</f>
        <v>OS months:4.9 vs.3.6, HR=0.69, HR CI=0.53-0.90, p=0.005</v>
      </c>
      <c r="AJ92" s="16">
        <v>111</v>
      </c>
      <c r="AK92" s="16" t="s">
        <v>1870</v>
      </c>
      <c r="AL92" s="16">
        <v>9</v>
      </c>
      <c r="AM92" s="239"/>
      <c r="AN92" s="595" t="s">
        <v>1869</v>
      </c>
      <c r="AO92" s="13">
        <v>111</v>
      </c>
      <c r="AP92" s="13" t="s">
        <v>52</v>
      </c>
      <c r="AQ92" s="13">
        <v>36.5</v>
      </c>
      <c r="AR92" s="13" t="s">
        <v>1868</v>
      </c>
      <c r="AS92" s="586" t="str">
        <f>AQ92&amp;" vs. "&amp;AQ93</f>
        <v>36.5 vs. NR</v>
      </c>
      <c r="AT92" s="11" t="s">
        <v>52</v>
      </c>
      <c r="AU92" s="11" t="s">
        <v>52</v>
      </c>
      <c r="AV92" s="596" t="s">
        <v>52</v>
      </c>
      <c r="AW92" s="11">
        <v>111</v>
      </c>
      <c r="AX92" s="13" t="s">
        <v>52</v>
      </c>
      <c r="AY92" s="13" t="s">
        <v>1867</v>
      </c>
      <c r="AZ92" s="13" t="s">
        <v>52</v>
      </c>
      <c r="BA92" s="13" t="s">
        <v>52</v>
      </c>
      <c r="BB92" s="13" t="s">
        <v>52</v>
      </c>
      <c r="BC92" s="13" t="s">
        <v>1866</v>
      </c>
      <c r="BD92" s="13" t="s">
        <v>52</v>
      </c>
      <c r="BE92" s="13" t="s">
        <v>52</v>
      </c>
      <c r="BF92" s="13" t="s">
        <v>52</v>
      </c>
      <c r="BG92" s="13" t="s">
        <v>52</v>
      </c>
      <c r="BH92" s="13" t="s">
        <v>52</v>
      </c>
      <c r="BI92" s="13" t="s">
        <v>52</v>
      </c>
      <c r="BJ92" s="13" t="s">
        <v>52</v>
      </c>
      <c r="BK92" s="13" t="s">
        <v>52</v>
      </c>
      <c r="BL92" s="13" t="s">
        <v>52</v>
      </c>
      <c r="BM92" s="13" t="s">
        <v>1865</v>
      </c>
      <c r="BN92" s="13" t="s">
        <v>52</v>
      </c>
      <c r="BO92" s="13" t="s">
        <v>52</v>
      </c>
      <c r="BP92" s="588" t="s">
        <v>52</v>
      </c>
      <c r="BQ92" s="610" t="s">
        <v>52</v>
      </c>
      <c r="BR92" s="11" t="s">
        <v>52</v>
      </c>
      <c r="BS92" s="600" t="s">
        <v>52</v>
      </c>
      <c r="BT92" s="609"/>
    </row>
    <row r="93" spans="1:72" s="8" customFormat="1" ht="15" customHeight="1">
      <c r="A93" s="646"/>
      <c r="B93" s="646"/>
      <c r="C93" s="644"/>
      <c r="D93" s="642"/>
      <c r="E93" s="642"/>
      <c r="F93" s="26" t="s">
        <v>495</v>
      </c>
      <c r="G93" s="634"/>
      <c r="H93" s="585"/>
      <c r="I93" s="585"/>
      <c r="J93" s="234">
        <v>119</v>
      </c>
      <c r="K93" s="587"/>
      <c r="L93" s="245">
        <v>77</v>
      </c>
      <c r="M93" s="587"/>
      <c r="N93" s="266">
        <v>73</v>
      </c>
      <c r="O93" s="616"/>
      <c r="P93" s="275">
        <v>73</v>
      </c>
      <c r="Q93" s="13" t="s">
        <v>1864</v>
      </c>
      <c r="R93" s="13" t="s">
        <v>608</v>
      </c>
      <c r="S93" s="13" t="s">
        <v>1863</v>
      </c>
      <c r="T93" s="13" t="s">
        <v>52</v>
      </c>
      <c r="U93" s="13" t="s">
        <v>52</v>
      </c>
      <c r="V93" s="13" t="s">
        <v>52</v>
      </c>
      <c r="W93" s="245" t="s">
        <v>52</v>
      </c>
      <c r="X93" s="618"/>
      <c r="Y93" s="245"/>
      <c r="Z93" s="24" t="s">
        <v>1862</v>
      </c>
      <c r="AA93" s="24" t="s">
        <v>1861</v>
      </c>
      <c r="AB93" s="41" t="s">
        <v>52</v>
      </c>
      <c r="AC93" s="22">
        <v>115</v>
      </c>
      <c r="AD93" s="22">
        <v>3.6</v>
      </c>
      <c r="AE93" s="21" t="s">
        <v>1860</v>
      </c>
      <c r="AF93" s="19" t="s">
        <v>52</v>
      </c>
      <c r="AG93" s="19" t="s">
        <v>52</v>
      </c>
      <c r="AH93" s="19" t="s">
        <v>52</v>
      </c>
      <c r="AI93" s="594"/>
      <c r="AJ93" s="16" t="s">
        <v>52</v>
      </c>
      <c r="AK93" s="16" t="s">
        <v>52</v>
      </c>
      <c r="AL93" s="17" t="s">
        <v>52</v>
      </c>
      <c r="AM93" s="17"/>
      <c r="AN93" s="595"/>
      <c r="AO93" s="13" t="s">
        <v>52</v>
      </c>
      <c r="AP93" s="13" t="s">
        <v>52</v>
      </c>
      <c r="AQ93" s="13" t="s">
        <v>52</v>
      </c>
      <c r="AR93" s="13" t="s">
        <v>52</v>
      </c>
      <c r="AS93" s="587"/>
      <c r="AT93" s="11" t="s">
        <v>52</v>
      </c>
      <c r="AU93" s="11" t="s">
        <v>52</v>
      </c>
      <c r="AV93" s="597"/>
      <c r="AW93" s="11">
        <v>114</v>
      </c>
      <c r="AX93" s="13" t="s">
        <v>52</v>
      </c>
      <c r="AY93" s="13" t="s">
        <v>1859</v>
      </c>
      <c r="AZ93" s="13" t="s">
        <v>52</v>
      </c>
      <c r="BA93" s="13" t="s">
        <v>52</v>
      </c>
      <c r="BB93" s="13" t="s">
        <v>52</v>
      </c>
      <c r="BC93" s="13" t="s">
        <v>1858</v>
      </c>
      <c r="BD93" s="13" t="s">
        <v>52</v>
      </c>
      <c r="BE93" s="13" t="s">
        <v>52</v>
      </c>
      <c r="BF93" s="13" t="s">
        <v>52</v>
      </c>
      <c r="BG93" s="13" t="s">
        <v>52</v>
      </c>
      <c r="BH93" s="13" t="s">
        <v>52</v>
      </c>
      <c r="BI93" s="13" t="s">
        <v>52</v>
      </c>
      <c r="BJ93" s="13" t="s">
        <v>52</v>
      </c>
      <c r="BK93" s="13" t="s">
        <v>52</v>
      </c>
      <c r="BL93" s="13" t="s">
        <v>52</v>
      </c>
      <c r="BM93" s="13" t="s">
        <v>1857</v>
      </c>
      <c r="BN93" s="13" t="s">
        <v>52</v>
      </c>
      <c r="BO93" s="13" t="s">
        <v>52</v>
      </c>
      <c r="BP93" s="588"/>
      <c r="BQ93" s="610"/>
      <c r="BR93" s="11" t="s">
        <v>52</v>
      </c>
      <c r="BS93" s="601"/>
      <c r="BT93" s="609"/>
    </row>
    <row r="94" spans="1:72" s="8" customFormat="1" ht="15" customHeight="1">
      <c r="A94" s="646" t="s">
        <v>1738</v>
      </c>
      <c r="B94" s="646" t="s">
        <v>1856</v>
      </c>
      <c r="C94" s="643" t="s">
        <v>1855</v>
      </c>
      <c r="D94" s="642" t="s">
        <v>1854</v>
      </c>
      <c r="E94" s="642" t="s">
        <v>1205</v>
      </c>
      <c r="F94" s="26" t="s">
        <v>1805</v>
      </c>
      <c r="G94" s="633" t="s">
        <v>1853</v>
      </c>
      <c r="H94" s="585" t="s">
        <v>1852</v>
      </c>
      <c r="I94" s="585" t="s">
        <v>1851</v>
      </c>
      <c r="J94" s="234">
        <v>29</v>
      </c>
      <c r="K94" s="586">
        <f>J94+J95</f>
        <v>56</v>
      </c>
      <c r="L94" s="245">
        <v>77</v>
      </c>
      <c r="M94" s="617">
        <f>(L94*J94+L95*J95)/K94</f>
        <v>77.482142857142861</v>
      </c>
      <c r="N94" s="266">
        <v>16</v>
      </c>
      <c r="O94" s="615">
        <v>29</v>
      </c>
      <c r="P94" s="275">
        <v>16</v>
      </c>
      <c r="Q94" s="13" t="s">
        <v>1845</v>
      </c>
      <c r="R94" s="13" t="s">
        <v>608</v>
      </c>
      <c r="S94" s="13" t="s">
        <v>1850</v>
      </c>
      <c r="T94" s="13" t="s">
        <v>52</v>
      </c>
      <c r="U94" s="13" t="s">
        <v>52</v>
      </c>
      <c r="V94" s="13" t="s">
        <v>52</v>
      </c>
      <c r="W94" s="245" t="s">
        <v>52</v>
      </c>
      <c r="X94" s="617" t="e">
        <f>W94+W95</f>
        <v>#VALUE!</v>
      </c>
      <c r="Y94" s="245"/>
      <c r="Z94" s="24" t="s">
        <v>1849</v>
      </c>
      <c r="AA94" s="24" t="s">
        <v>1848</v>
      </c>
      <c r="AB94" s="41" t="s">
        <v>52</v>
      </c>
      <c r="AC94" s="22">
        <v>29</v>
      </c>
      <c r="AD94" s="22" t="s">
        <v>52</v>
      </c>
      <c r="AE94" s="21" t="s">
        <v>52</v>
      </c>
      <c r="AF94" s="11" t="s">
        <v>52</v>
      </c>
      <c r="AG94" s="11" t="s">
        <v>52</v>
      </c>
      <c r="AH94" s="11" t="s">
        <v>52</v>
      </c>
      <c r="AI94" s="594" t="s">
        <v>52</v>
      </c>
      <c r="AJ94" s="16">
        <v>29</v>
      </c>
      <c r="AK94" s="16" t="s">
        <v>1847</v>
      </c>
      <c r="AL94" s="16" t="s">
        <v>1846</v>
      </c>
      <c r="AM94" s="239"/>
      <c r="AN94" s="595" t="str">
        <f>"CR/CRi= "&amp;AK94&amp;" vs "&amp;AK95</f>
        <v>CR/CRi= 6 (21%) / NR (NR)  vs 5 (18%) / NR (NR)</v>
      </c>
      <c r="AO94" s="13" t="s">
        <v>52</v>
      </c>
      <c r="AP94" s="13" t="s">
        <v>52</v>
      </c>
      <c r="AQ94" s="13" t="s">
        <v>52</v>
      </c>
      <c r="AR94" s="13" t="s">
        <v>52</v>
      </c>
      <c r="AS94" s="586" t="s">
        <v>52</v>
      </c>
      <c r="AT94" s="13" t="s">
        <v>52</v>
      </c>
      <c r="AU94" s="13" t="s">
        <v>52</v>
      </c>
      <c r="AV94" s="586" t="s">
        <v>52</v>
      </c>
      <c r="AW94" s="11">
        <v>29</v>
      </c>
      <c r="AX94" s="13" t="s">
        <v>52</v>
      </c>
      <c r="AY94" s="13" t="s">
        <v>1844</v>
      </c>
      <c r="AZ94" s="13" t="s">
        <v>1845</v>
      </c>
      <c r="BA94" s="13" t="s">
        <v>52</v>
      </c>
      <c r="BB94" s="13" t="s">
        <v>52</v>
      </c>
      <c r="BC94" s="13" t="s">
        <v>52</v>
      </c>
      <c r="BD94" s="13" t="s">
        <v>1845</v>
      </c>
      <c r="BE94" s="13" t="s">
        <v>52</v>
      </c>
      <c r="BF94" s="13" t="s">
        <v>52</v>
      </c>
      <c r="BG94" s="13" t="s">
        <v>52</v>
      </c>
      <c r="BH94" s="13" t="s">
        <v>52</v>
      </c>
      <c r="BI94" s="13" t="s">
        <v>52</v>
      </c>
      <c r="BJ94" s="13" t="s">
        <v>52</v>
      </c>
      <c r="BK94" s="13" t="s">
        <v>52</v>
      </c>
      <c r="BL94" s="13" t="s">
        <v>52</v>
      </c>
      <c r="BM94" s="13" t="s">
        <v>1844</v>
      </c>
      <c r="BN94" s="13" t="s">
        <v>52</v>
      </c>
      <c r="BO94" s="13" t="s">
        <v>52</v>
      </c>
      <c r="BP94" s="588" t="s">
        <v>52</v>
      </c>
      <c r="BQ94" s="610" t="s">
        <v>52</v>
      </c>
      <c r="BR94" s="11" t="s">
        <v>52</v>
      </c>
      <c r="BS94" s="600" t="s">
        <v>52</v>
      </c>
      <c r="BT94" s="609"/>
    </row>
    <row r="95" spans="1:72" s="8" customFormat="1" ht="15" customHeight="1">
      <c r="A95" s="646"/>
      <c r="B95" s="646"/>
      <c r="C95" s="644"/>
      <c r="D95" s="642"/>
      <c r="E95" s="642"/>
      <c r="F95" s="26" t="s">
        <v>1805</v>
      </c>
      <c r="G95" s="634"/>
      <c r="H95" s="585"/>
      <c r="I95" s="585"/>
      <c r="J95" s="234">
        <v>27</v>
      </c>
      <c r="K95" s="587"/>
      <c r="L95" s="245">
        <v>78</v>
      </c>
      <c r="M95" s="618"/>
      <c r="N95" s="266">
        <v>13</v>
      </c>
      <c r="O95" s="616"/>
      <c r="P95" s="275">
        <v>13</v>
      </c>
      <c r="Q95" s="13" t="s">
        <v>1843</v>
      </c>
      <c r="R95" s="13" t="s">
        <v>608</v>
      </c>
      <c r="S95" s="13" t="s">
        <v>1842</v>
      </c>
      <c r="T95" s="13" t="s">
        <v>52</v>
      </c>
      <c r="U95" s="13" t="s">
        <v>52</v>
      </c>
      <c r="V95" s="13" t="s">
        <v>52</v>
      </c>
      <c r="W95" s="245" t="s">
        <v>52</v>
      </c>
      <c r="X95" s="618"/>
      <c r="Y95" s="245"/>
      <c r="Z95" s="24" t="s">
        <v>1841</v>
      </c>
      <c r="AA95" s="24" t="s">
        <v>1838</v>
      </c>
      <c r="AB95" s="41" t="s">
        <v>52</v>
      </c>
      <c r="AC95" s="22">
        <v>27</v>
      </c>
      <c r="AD95" s="22" t="s">
        <v>52</v>
      </c>
      <c r="AE95" s="21" t="s">
        <v>52</v>
      </c>
      <c r="AF95" s="19" t="s">
        <v>52</v>
      </c>
      <c r="AG95" s="19" t="s">
        <v>52</v>
      </c>
      <c r="AH95" s="19" t="s">
        <v>52</v>
      </c>
      <c r="AI95" s="594"/>
      <c r="AJ95" s="16">
        <v>27</v>
      </c>
      <c r="AK95" s="16" t="s">
        <v>1840</v>
      </c>
      <c r="AL95" s="17" t="s">
        <v>1839</v>
      </c>
      <c r="AM95" s="17"/>
      <c r="AN95" s="595"/>
      <c r="AO95" s="13" t="s">
        <v>52</v>
      </c>
      <c r="AP95" s="13" t="s">
        <v>52</v>
      </c>
      <c r="AQ95" s="13" t="s">
        <v>52</v>
      </c>
      <c r="AR95" s="13" t="s">
        <v>52</v>
      </c>
      <c r="AS95" s="587"/>
      <c r="AT95" s="13" t="s">
        <v>52</v>
      </c>
      <c r="AU95" s="13" t="s">
        <v>52</v>
      </c>
      <c r="AV95" s="587"/>
      <c r="AW95" s="11">
        <v>27</v>
      </c>
      <c r="AX95" s="13" t="s">
        <v>52</v>
      </c>
      <c r="AY95" s="13" t="s">
        <v>1838</v>
      </c>
      <c r="AZ95" s="13" t="s">
        <v>1286</v>
      </c>
      <c r="BA95" s="13" t="s">
        <v>52</v>
      </c>
      <c r="BB95" s="13" t="s">
        <v>52</v>
      </c>
      <c r="BC95" s="13" t="s">
        <v>52</v>
      </c>
      <c r="BD95" s="13" t="s">
        <v>1286</v>
      </c>
      <c r="BE95" s="13" t="s">
        <v>52</v>
      </c>
      <c r="BF95" s="13" t="s">
        <v>52</v>
      </c>
      <c r="BG95" s="13" t="s">
        <v>52</v>
      </c>
      <c r="BH95" s="13" t="s">
        <v>52</v>
      </c>
      <c r="BI95" s="13" t="s">
        <v>52</v>
      </c>
      <c r="BJ95" s="13" t="s">
        <v>52</v>
      </c>
      <c r="BK95" s="13" t="s">
        <v>52</v>
      </c>
      <c r="BL95" s="13" t="s">
        <v>52</v>
      </c>
      <c r="BM95" s="13" t="s">
        <v>1837</v>
      </c>
      <c r="BN95" s="13" t="s">
        <v>52</v>
      </c>
      <c r="BO95" s="13" t="s">
        <v>52</v>
      </c>
      <c r="BP95" s="588"/>
      <c r="BQ95" s="610"/>
      <c r="BR95" s="11" t="s">
        <v>52</v>
      </c>
      <c r="BS95" s="601"/>
      <c r="BT95" s="609"/>
    </row>
    <row r="96" spans="1:72" s="8" customFormat="1" ht="15" customHeight="1">
      <c r="A96" s="29" t="s">
        <v>1738</v>
      </c>
      <c r="B96" s="29" t="s">
        <v>1836</v>
      </c>
      <c r="C96" s="46" t="s">
        <v>1827</v>
      </c>
      <c r="D96" s="27" t="s">
        <v>1826</v>
      </c>
      <c r="E96" s="27" t="s">
        <v>1835</v>
      </c>
      <c r="F96" s="26" t="s">
        <v>1790</v>
      </c>
      <c r="G96" s="45" t="s">
        <v>1789</v>
      </c>
      <c r="H96" s="25" t="s">
        <v>1834</v>
      </c>
      <c r="I96" s="25" t="s">
        <v>1833</v>
      </c>
      <c r="J96" s="234">
        <v>79</v>
      </c>
      <c r="K96" s="254">
        <f>J96</f>
        <v>79</v>
      </c>
      <c r="L96" s="254">
        <v>71</v>
      </c>
      <c r="M96" s="49">
        <f>L96</f>
        <v>71</v>
      </c>
      <c r="N96" s="266">
        <v>49</v>
      </c>
      <c r="O96" s="275">
        <v>49</v>
      </c>
      <c r="P96" s="275">
        <v>49</v>
      </c>
      <c r="Q96" s="13" t="s">
        <v>901</v>
      </c>
      <c r="R96" s="13" t="s">
        <v>608</v>
      </c>
      <c r="S96" s="13" t="s">
        <v>1832</v>
      </c>
      <c r="T96" s="13" t="s">
        <v>52</v>
      </c>
      <c r="U96" s="13" t="s">
        <v>52</v>
      </c>
      <c r="V96" s="13" t="s">
        <v>52</v>
      </c>
      <c r="W96" s="245" t="s">
        <v>52</v>
      </c>
      <c r="X96" s="275" t="str">
        <f>W96</f>
        <v>NR</v>
      </c>
      <c r="Y96" s="245"/>
      <c r="Z96" s="13" t="s">
        <v>52</v>
      </c>
      <c r="AA96" s="13" t="s">
        <v>52</v>
      </c>
      <c r="AB96" s="22" t="s">
        <v>54</v>
      </c>
      <c r="AC96" s="13">
        <v>79</v>
      </c>
      <c r="AD96" s="13">
        <v>11</v>
      </c>
      <c r="AE96" s="13" t="s">
        <v>52</v>
      </c>
      <c r="AF96" s="19" t="s">
        <v>52</v>
      </c>
      <c r="AG96" s="19" t="s">
        <v>52</v>
      </c>
      <c r="AH96" s="19" t="s">
        <v>52</v>
      </c>
      <c r="AI96" s="48" t="str">
        <f>"OS months: "&amp;AD96&amp;", OS CI= "&amp;AE96</f>
        <v>OS months: 11, OS CI= NR</v>
      </c>
      <c r="AJ96" s="16">
        <v>79</v>
      </c>
      <c r="AK96" s="16" t="s">
        <v>1830</v>
      </c>
      <c r="AL96" s="17" t="s">
        <v>1831</v>
      </c>
      <c r="AM96" s="17"/>
      <c r="AN96" s="16" t="s">
        <v>1830</v>
      </c>
      <c r="AO96" s="13">
        <v>79</v>
      </c>
      <c r="AP96" s="13" t="s">
        <v>52</v>
      </c>
      <c r="AQ96" s="13" t="s">
        <v>1821</v>
      </c>
      <c r="AR96" s="13" t="s">
        <v>52</v>
      </c>
      <c r="AS96" s="13" t="s">
        <v>1821</v>
      </c>
      <c r="AT96" s="11" t="s">
        <v>52</v>
      </c>
      <c r="AU96" s="11" t="s">
        <v>52</v>
      </c>
      <c r="AV96" s="15" t="s">
        <v>52</v>
      </c>
      <c r="AW96" s="11">
        <v>79</v>
      </c>
      <c r="AX96" s="13" t="s">
        <v>52</v>
      </c>
      <c r="AY96" s="13" t="s">
        <v>52</v>
      </c>
      <c r="AZ96" s="13" t="s">
        <v>1829</v>
      </c>
      <c r="BA96" s="13" t="s">
        <v>52</v>
      </c>
      <c r="BB96" s="13" t="s">
        <v>52</v>
      </c>
      <c r="BC96" s="13" t="s">
        <v>52</v>
      </c>
      <c r="BD96" s="13" t="s">
        <v>52</v>
      </c>
      <c r="BE96" s="13" t="s">
        <v>52</v>
      </c>
      <c r="BF96" s="13" t="s">
        <v>52</v>
      </c>
      <c r="BG96" s="13" t="s">
        <v>52</v>
      </c>
      <c r="BH96" s="13" t="s">
        <v>52</v>
      </c>
      <c r="BI96" s="13" t="s">
        <v>52</v>
      </c>
      <c r="BJ96" s="13" t="s">
        <v>52</v>
      </c>
      <c r="BK96" s="13" t="s">
        <v>52</v>
      </c>
      <c r="BL96" s="13" t="s">
        <v>52</v>
      </c>
      <c r="BM96" s="22" t="s">
        <v>1829</v>
      </c>
      <c r="BN96" s="13" t="s">
        <v>52</v>
      </c>
      <c r="BO96" s="13" t="s">
        <v>52</v>
      </c>
      <c r="BP96" s="11" t="s">
        <v>52</v>
      </c>
      <c r="BQ96" s="12" t="s">
        <v>52</v>
      </c>
      <c r="BR96" s="11" t="s">
        <v>52</v>
      </c>
      <c r="BS96" s="10" t="s">
        <v>52</v>
      </c>
      <c r="BT96" s="9"/>
    </row>
    <row r="97" spans="1:72" s="8" customFormat="1" ht="15" customHeight="1">
      <c r="A97" s="29" t="s">
        <v>1738</v>
      </c>
      <c r="B97" s="29" t="s">
        <v>1828</v>
      </c>
      <c r="C97" s="46" t="s">
        <v>1827</v>
      </c>
      <c r="D97" s="27" t="s">
        <v>1826</v>
      </c>
      <c r="E97" s="27" t="s">
        <v>1825</v>
      </c>
      <c r="F97" s="26" t="s">
        <v>1790</v>
      </c>
      <c r="G97" s="45" t="s">
        <v>1789</v>
      </c>
      <c r="H97" s="25" t="s">
        <v>1824</v>
      </c>
      <c r="I97" s="25" t="s">
        <v>1823</v>
      </c>
      <c r="J97" s="234">
        <v>54</v>
      </c>
      <c r="K97" s="236">
        <v>54</v>
      </c>
      <c r="L97" s="236">
        <v>75</v>
      </c>
      <c r="M97" s="30">
        <f>L97</f>
        <v>75</v>
      </c>
      <c r="N97" s="266">
        <v>33</v>
      </c>
      <c r="O97" s="255">
        <v>33</v>
      </c>
      <c r="P97" s="275">
        <v>33</v>
      </c>
      <c r="Q97" s="13" t="s">
        <v>1576</v>
      </c>
      <c r="R97" s="13" t="s">
        <v>608</v>
      </c>
      <c r="S97" s="13" t="s">
        <v>52</v>
      </c>
      <c r="T97" s="13" t="s">
        <v>52</v>
      </c>
      <c r="U97" s="13" t="s">
        <v>52</v>
      </c>
      <c r="V97" s="13" t="s">
        <v>52</v>
      </c>
      <c r="W97" s="245" t="s">
        <v>52</v>
      </c>
      <c r="X97" s="275" t="str">
        <f>W97</f>
        <v>NR</v>
      </c>
      <c r="Y97" s="245"/>
      <c r="Z97" s="13" t="s">
        <v>52</v>
      </c>
      <c r="AA97" s="13" t="s">
        <v>52</v>
      </c>
      <c r="AB97" s="22" t="s">
        <v>54</v>
      </c>
      <c r="AC97" s="13">
        <v>54</v>
      </c>
      <c r="AD97" s="13">
        <v>11</v>
      </c>
      <c r="AE97" s="13" t="s">
        <v>52</v>
      </c>
      <c r="AF97" s="19" t="s">
        <v>52</v>
      </c>
      <c r="AG97" s="19" t="s">
        <v>52</v>
      </c>
      <c r="AH97" s="19" t="s">
        <v>52</v>
      </c>
      <c r="AI97" s="44" t="str">
        <f>"OS months: "&amp;AD97&amp;", OS CI= "&amp;AE97</f>
        <v>OS months: 11, OS CI= NR</v>
      </c>
      <c r="AJ97" s="16">
        <v>54</v>
      </c>
      <c r="AK97" s="16" t="s">
        <v>1822</v>
      </c>
      <c r="AL97" s="16" t="s">
        <v>1820</v>
      </c>
      <c r="AM97" s="239"/>
      <c r="AN97" s="16" t="s">
        <v>1822</v>
      </c>
      <c r="AO97" s="13">
        <v>54</v>
      </c>
      <c r="AP97" s="13" t="s">
        <v>52</v>
      </c>
      <c r="AQ97" s="13" t="s">
        <v>1821</v>
      </c>
      <c r="AR97" s="13" t="s">
        <v>52</v>
      </c>
      <c r="AS97" s="13" t="s">
        <v>1821</v>
      </c>
      <c r="AT97" s="11" t="s">
        <v>52</v>
      </c>
      <c r="AU97" s="11" t="s">
        <v>52</v>
      </c>
      <c r="AV97" s="42" t="s">
        <v>52</v>
      </c>
      <c r="AW97" s="11">
        <v>54</v>
      </c>
      <c r="AX97" s="13" t="s">
        <v>52</v>
      </c>
      <c r="AY97" s="13" t="s">
        <v>52</v>
      </c>
      <c r="AZ97" s="13" t="s">
        <v>1581</v>
      </c>
      <c r="BA97" s="13" t="s">
        <v>52</v>
      </c>
      <c r="BB97" s="13" t="s">
        <v>52</v>
      </c>
      <c r="BC97" s="13" t="s">
        <v>52</v>
      </c>
      <c r="BD97" s="13" t="s">
        <v>52</v>
      </c>
      <c r="BE97" s="13" t="s">
        <v>52</v>
      </c>
      <c r="BF97" s="13" t="s">
        <v>52</v>
      </c>
      <c r="BG97" s="13" t="s">
        <v>52</v>
      </c>
      <c r="BH97" s="13" t="s">
        <v>52</v>
      </c>
      <c r="BI97" s="13" t="s">
        <v>52</v>
      </c>
      <c r="BJ97" s="13" t="s">
        <v>52</v>
      </c>
      <c r="BK97" s="13" t="s">
        <v>52</v>
      </c>
      <c r="BL97" s="13" t="s">
        <v>52</v>
      </c>
      <c r="BM97" s="13" t="s">
        <v>1820</v>
      </c>
      <c r="BN97" s="13" t="s">
        <v>52</v>
      </c>
      <c r="BO97" s="13" t="s">
        <v>52</v>
      </c>
      <c r="BP97" s="11" t="s">
        <v>52</v>
      </c>
      <c r="BQ97" s="12" t="s">
        <v>52</v>
      </c>
      <c r="BR97" s="11" t="s">
        <v>52</v>
      </c>
      <c r="BS97" s="10" t="s">
        <v>52</v>
      </c>
      <c r="BT97" s="9"/>
    </row>
    <row r="98" spans="1:72" s="8" customFormat="1" ht="15" customHeight="1">
      <c r="A98" s="646" t="s">
        <v>1738</v>
      </c>
      <c r="B98" s="646" t="s">
        <v>1819</v>
      </c>
      <c r="C98" s="643" t="s">
        <v>1818</v>
      </c>
      <c r="D98" s="642" t="s">
        <v>52</v>
      </c>
      <c r="E98" s="642" t="s">
        <v>1817</v>
      </c>
      <c r="F98" s="26" t="s">
        <v>1816</v>
      </c>
      <c r="G98" s="633" t="s">
        <v>1815</v>
      </c>
      <c r="H98" s="585" t="s">
        <v>1814</v>
      </c>
      <c r="I98" s="585" t="s">
        <v>1813</v>
      </c>
      <c r="J98" s="234">
        <v>25</v>
      </c>
      <c r="K98" s="586">
        <f>J98+J99</f>
        <v>51</v>
      </c>
      <c r="L98" s="245">
        <v>71</v>
      </c>
      <c r="M98" s="617">
        <f>(L98*J98+L99*J99)/K98</f>
        <v>71.509803921568633</v>
      </c>
      <c r="N98" s="266" t="s">
        <v>52</v>
      </c>
      <c r="O98" s="617" t="s">
        <v>52</v>
      </c>
      <c r="P98" s="275" t="s">
        <v>52</v>
      </c>
      <c r="Q98" s="13" t="s">
        <v>1812</v>
      </c>
      <c r="R98" s="13" t="s">
        <v>1811</v>
      </c>
      <c r="S98" s="13" t="s">
        <v>52</v>
      </c>
      <c r="T98" s="13" t="s">
        <v>52</v>
      </c>
      <c r="U98" s="13" t="s">
        <v>52</v>
      </c>
      <c r="V98" s="13" t="s">
        <v>52</v>
      </c>
      <c r="W98" s="245" t="s">
        <v>52</v>
      </c>
      <c r="X98" s="617" t="e">
        <f>W98+W99</f>
        <v>#VALUE!</v>
      </c>
      <c r="Y98" s="245"/>
      <c r="Z98" s="24" t="s">
        <v>52</v>
      </c>
      <c r="AA98" s="24" t="s">
        <v>52</v>
      </c>
      <c r="AB98" s="41" t="s">
        <v>52</v>
      </c>
      <c r="AC98" s="20" t="s">
        <v>52</v>
      </c>
      <c r="AD98" s="20" t="s">
        <v>52</v>
      </c>
      <c r="AE98" s="20" t="s">
        <v>52</v>
      </c>
      <c r="AF98" s="20" t="s">
        <v>52</v>
      </c>
      <c r="AG98" s="20" t="s">
        <v>52</v>
      </c>
      <c r="AH98" s="20" t="s">
        <v>52</v>
      </c>
      <c r="AI98" s="598" t="s">
        <v>52</v>
      </c>
      <c r="AJ98" s="16" t="s">
        <v>52</v>
      </c>
      <c r="AK98" s="16" t="s">
        <v>52</v>
      </c>
      <c r="AL98" s="16" t="s">
        <v>52</v>
      </c>
      <c r="AM98" s="239"/>
      <c r="AN98" s="595" t="s">
        <v>52</v>
      </c>
      <c r="AO98" s="13" t="s">
        <v>52</v>
      </c>
      <c r="AP98" s="13" t="s">
        <v>52</v>
      </c>
      <c r="AQ98" s="13" t="s">
        <v>52</v>
      </c>
      <c r="AR98" s="13" t="s">
        <v>52</v>
      </c>
      <c r="AS98" s="586" t="s">
        <v>52</v>
      </c>
      <c r="AT98" s="13" t="s">
        <v>52</v>
      </c>
      <c r="AU98" s="13" t="s">
        <v>52</v>
      </c>
      <c r="AV98" s="586" t="s">
        <v>52</v>
      </c>
      <c r="AW98" s="11" t="s">
        <v>52</v>
      </c>
      <c r="AX98" s="11" t="s">
        <v>52</v>
      </c>
      <c r="AY98" s="11" t="s">
        <v>52</v>
      </c>
      <c r="AZ98" s="11" t="s">
        <v>52</v>
      </c>
      <c r="BA98" s="11" t="s">
        <v>52</v>
      </c>
      <c r="BB98" s="11" t="s">
        <v>52</v>
      </c>
      <c r="BC98" s="11" t="s">
        <v>52</v>
      </c>
      <c r="BD98" s="11" t="s">
        <v>52</v>
      </c>
      <c r="BE98" s="11" t="s">
        <v>52</v>
      </c>
      <c r="BF98" s="11" t="s">
        <v>52</v>
      </c>
      <c r="BG98" s="11" t="s">
        <v>52</v>
      </c>
      <c r="BH98" s="11" t="s">
        <v>52</v>
      </c>
      <c r="BI98" s="11" t="s">
        <v>52</v>
      </c>
      <c r="BJ98" s="11" t="s">
        <v>52</v>
      </c>
      <c r="BK98" s="11" t="s">
        <v>52</v>
      </c>
      <c r="BL98" s="11" t="s">
        <v>52</v>
      </c>
      <c r="BM98" s="11" t="s">
        <v>52</v>
      </c>
      <c r="BN98" s="11" t="s">
        <v>52</v>
      </c>
      <c r="BO98" s="11" t="s">
        <v>52</v>
      </c>
      <c r="BP98" s="588" t="s">
        <v>52</v>
      </c>
      <c r="BQ98" s="610" t="s">
        <v>52</v>
      </c>
      <c r="BR98" s="11" t="s">
        <v>52</v>
      </c>
      <c r="BS98" s="600" t="s">
        <v>52</v>
      </c>
      <c r="BT98" s="609"/>
    </row>
    <row r="99" spans="1:72" s="8" customFormat="1" ht="15" customHeight="1">
      <c r="A99" s="646"/>
      <c r="B99" s="646"/>
      <c r="C99" s="644"/>
      <c r="D99" s="642"/>
      <c r="E99" s="642"/>
      <c r="F99" s="26" t="s">
        <v>1805</v>
      </c>
      <c r="G99" s="634"/>
      <c r="H99" s="585"/>
      <c r="I99" s="585"/>
      <c r="J99" s="234">
        <v>26</v>
      </c>
      <c r="K99" s="587"/>
      <c r="L99" s="245">
        <v>72</v>
      </c>
      <c r="M99" s="618"/>
      <c r="N99" s="266" t="s">
        <v>52</v>
      </c>
      <c r="O99" s="618"/>
      <c r="P99" s="275" t="s">
        <v>52</v>
      </c>
      <c r="Q99" s="13" t="s">
        <v>1810</v>
      </c>
      <c r="R99" s="13" t="s">
        <v>1809</v>
      </c>
      <c r="S99" s="13" t="s">
        <v>52</v>
      </c>
      <c r="T99" s="13" t="s">
        <v>52</v>
      </c>
      <c r="U99" s="13" t="s">
        <v>52</v>
      </c>
      <c r="V99" s="13" t="s">
        <v>52</v>
      </c>
      <c r="W99" s="245" t="s">
        <v>52</v>
      </c>
      <c r="X99" s="618"/>
      <c r="Y99" s="245"/>
      <c r="Z99" s="24" t="s">
        <v>52</v>
      </c>
      <c r="AA99" s="24" t="s">
        <v>52</v>
      </c>
      <c r="AB99" s="41" t="s">
        <v>52</v>
      </c>
      <c r="AC99" s="20" t="s">
        <v>52</v>
      </c>
      <c r="AD99" s="20" t="s">
        <v>52</v>
      </c>
      <c r="AE99" s="20" t="s">
        <v>52</v>
      </c>
      <c r="AF99" s="19" t="s">
        <v>52</v>
      </c>
      <c r="AG99" s="19" t="s">
        <v>52</v>
      </c>
      <c r="AH99" s="19" t="s">
        <v>52</v>
      </c>
      <c r="AI99" s="611"/>
      <c r="AJ99" s="16" t="s">
        <v>52</v>
      </c>
      <c r="AK99" s="16" t="s">
        <v>52</v>
      </c>
      <c r="AL99" s="16" t="s">
        <v>52</v>
      </c>
      <c r="AM99" s="239"/>
      <c r="AN99" s="595"/>
      <c r="AO99" s="13" t="s">
        <v>52</v>
      </c>
      <c r="AP99" s="13" t="s">
        <v>52</v>
      </c>
      <c r="AQ99" s="13" t="s">
        <v>52</v>
      </c>
      <c r="AR99" s="13" t="s">
        <v>52</v>
      </c>
      <c r="AS99" s="587"/>
      <c r="AT99" s="13" t="s">
        <v>52</v>
      </c>
      <c r="AU99" s="13" t="s">
        <v>52</v>
      </c>
      <c r="AV99" s="587"/>
      <c r="AW99" s="11" t="s">
        <v>52</v>
      </c>
      <c r="AX99" s="11" t="s">
        <v>52</v>
      </c>
      <c r="AY99" s="11" t="s">
        <v>52</v>
      </c>
      <c r="AZ99" s="11" t="s">
        <v>52</v>
      </c>
      <c r="BA99" s="11" t="s">
        <v>52</v>
      </c>
      <c r="BB99" s="11" t="s">
        <v>52</v>
      </c>
      <c r="BC99" s="11" t="s">
        <v>52</v>
      </c>
      <c r="BD99" s="11" t="s">
        <v>52</v>
      </c>
      <c r="BE99" s="11" t="s">
        <v>52</v>
      </c>
      <c r="BF99" s="11" t="s">
        <v>52</v>
      </c>
      <c r="BG99" s="11" t="s">
        <v>52</v>
      </c>
      <c r="BH99" s="11" t="s">
        <v>52</v>
      </c>
      <c r="BI99" s="11" t="s">
        <v>52</v>
      </c>
      <c r="BJ99" s="11" t="s">
        <v>52</v>
      </c>
      <c r="BK99" s="11" t="s">
        <v>52</v>
      </c>
      <c r="BL99" s="11" t="s">
        <v>52</v>
      </c>
      <c r="BM99" s="11" t="s">
        <v>52</v>
      </c>
      <c r="BN99" s="11" t="s">
        <v>52</v>
      </c>
      <c r="BO99" s="11" t="s">
        <v>52</v>
      </c>
      <c r="BP99" s="588"/>
      <c r="BQ99" s="610"/>
      <c r="BR99" s="11" t="s">
        <v>52</v>
      </c>
      <c r="BS99" s="601"/>
      <c r="BT99" s="609"/>
    </row>
    <row r="100" spans="1:72" s="8" customFormat="1" ht="15" customHeight="1">
      <c r="A100" s="29" t="s">
        <v>1738</v>
      </c>
      <c r="B100" s="29" t="s">
        <v>1808</v>
      </c>
      <c r="C100" s="28" t="s">
        <v>1807</v>
      </c>
      <c r="D100" s="27" t="s">
        <v>52</v>
      </c>
      <c r="E100" s="27" t="s">
        <v>1806</v>
      </c>
      <c r="F100" s="26" t="s">
        <v>1805</v>
      </c>
      <c r="G100" s="26" t="s">
        <v>1804</v>
      </c>
      <c r="H100" s="25" t="s">
        <v>1803</v>
      </c>
      <c r="I100" s="25" t="s">
        <v>1802</v>
      </c>
      <c r="J100" s="234">
        <v>12</v>
      </c>
      <c r="K100" s="245">
        <f>J100</f>
        <v>12</v>
      </c>
      <c r="L100" s="245">
        <v>75</v>
      </c>
      <c r="M100" s="13">
        <f>L100</f>
        <v>75</v>
      </c>
      <c r="N100" s="266">
        <v>9</v>
      </c>
      <c r="O100" s="283">
        <v>9</v>
      </c>
      <c r="P100" s="275">
        <v>9</v>
      </c>
      <c r="Q100" s="13" t="s">
        <v>1106</v>
      </c>
      <c r="R100" s="13" t="s">
        <v>608</v>
      </c>
      <c r="S100" s="13" t="s">
        <v>52</v>
      </c>
      <c r="T100" s="13" t="s">
        <v>1801</v>
      </c>
      <c r="U100" s="13" t="s">
        <v>1800</v>
      </c>
      <c r="V100" s="13" t="s">
        <v>1799</v>
      </c>
      <c r="W100" s="245">
        <v>11</v>
      </c>
      <c r="X100" s="283">
        <v>11</v>
      </c>
      <c r="Y100" s="245"/>
      <c r="Z100" s="24" t="s">
        <v>1740</v>
      </c>
      <c r="AA100" s="24" t="s">
        <v>1798</v>
      </c>
      <c r="AB100" s="41" t="s">
        <v>52</v>
      </c>
      <c r="AC100" s="20" t="s">
        <v>54</v>
      </c>
      <c r="AD100" s="20" t="s">
        <v>54</v>
      </c>
      <c r="AE100" s="20" t="s">
        <v>54</v>
      </c>
      <c r="AF100" s="19" t="s">
        <v>52</v>
      </c>
      <c r="AG100" s="19" t="s">
        <v>52</v>
      </c>
      <c r="AH100" s="19" t="s">
        <v>52</v>
      </c>
      <c r="AI100" s="18" t="s">
        <v>54</v>
      </c>
      <c r="AJ100" s="16">
        <v>11</v>
      </c>
      <c r="AK100" s="16" t="s">
        <v>1796</v>
      </c>
      <c r="AL100" s="17" t="s">
        <v>1797</v>
      </c>
      <c r="AM100" s="17"/>
      <c r="AN100" s="16" t="s">
        <v>1796</v>
      </c>
      <c r="AO100" s="13" t="s">
        <v>52</v>
      </c>
      <c r="AP100" s="13" t="s">
        <v>52</v>
      </c>
      <c r="AQ100" s="13" t="s">
        <v>52</v>
      </c>
      <c r="AR100" s="13" t="s">
        <v>52</v>
      </c>
      <c r="AS100" s="13" t="s">
        <v>52</v>
      </c>
      <c r="AT100" s="11" t="s">
        <v>52</v>
      </c>
      <c r="AU100" s="11" t="s">
        <v>52</v>
      </c>
      <c r="AV100" s="15" t="s">
        <v>52</v>
      </c>
      <c r="AW100" s="11">
        <v>12</v>
      </c>
      <c r="AX100" s="13" t="s">
        <v>52</v>
      </c>
      <c r="AY100" s="13" t="s">
        <v>52</v>
      </c>
      <c r="AZ100" s="13" t="s">
        <v>1795</v>
      </c>
      <c r="BA100" s="13" t="s">
        <v>608</v>
      </c>
      <c r="BB100" s="13" t="s">
        <v>52</v>
      </c>
      <c r="BC100" s="13" t="s">
        <v>608</v>
      </c>
      <c r="BD100" s="13" t="s">
        <v>1106</v>
      </c>
      <c r="BE100" s="13" t="s">
        <v>1794</v>
      </c>
      <c r="BF100" s="13" t="s">
        <v>52</v>
      </c>
      <c r="BG100" s="13" t="s">
        <v>52</v>
      </c>
      <c r="BH100" s="13" t="s">
        <v>52</v>
      </c>
      <c r="BI100" s="13" t="s">
        <v>52</v>
      </c>
      <c r="BJ100" s="13" t="s">
        <v>52</v>
      </c>
      <c r="BK100" s="13" t="s">
        <v>608</v>
      </c>
      <c r="BL100" s="13" t="s">
        <v>52</v>
      </c>
      <c r="BM100" s="13" t="s">
        <v>52</v>
      </c>
      <c r="BN100" s="13" t="s">
        <v>52</v>
      </c>
      <c r="BO100" s="13" t="s">
        <v>52</v>
      </c>
      <c r="BP100" s="11" t="s">
        <v>52</v>
      </c>
      <c r="BQ100" s="12" t="s">
        <v>52</v>
      </c>
      <c r="BR100" s="11" t="s">
        <v>52</v>
      </c>
      <c r="BS100" s="10" t="s">
        <v>52</v>
      </c>
      <c r="BT100" s="9"/>
    </row>
    <row r="101" spans="1:72" s="8" customFormat="1" ht="15" customHeight="1">
      <c r="A101" s="29" t="s">
        <v>1738</v>
      </c>
      <c r="B101" s="29" t="s">
        <v>1793</v>
      </c>
      <c r="C101" s="46" t="s">
        <v>1792</v>
      </c>
      <c r="D101" s="27" t="s">
        <v>52</v>
      </c>
      <c r="E101" s="27" t="s">
        <v>1791</v>
      </c>
      <c r="F101" s="26" t="s">
        <v>1790</v>
      </c>
      <c r="G101" s="45" t="s">
        <v>1789</v>
      </c>
      <c r="H101" s="25" t="s">
        <v>1788</v>
      </c>
      <c r="I101" s="25" t="s">
        <v>1787</v>
      </c>
      <c r="J101" s="234">
        <v>20</v>
      </c>
      <c r="K101" s="236">
        <f>J101</f>
        <v>20</v>
      </c>
      <c r="L101" s="245">
        <v>76</v>
      </c>
      <c r="M101" s="13">
        <f>L101</f>
        <v>76</v>
      </c>
      <c r="N101" s="266">
        <v>11</v>
      </c>
      <c r="O101" s="283">
        <v>11</v>
      </c>
      <c r="P101" s="275">
        <v>11</v>
      </c>
      <c r="Q101" s="13" t="s">
        <v>1786</v>
      </c>
      <c r="R101" s="13" t="s">
        <v>779</v>
      </c>
      <c r="S101" s="13" t="s">
        <v>1785</v>
      </c>
      <c r="T101" s="13" t="s">
        <v>52</v>
      </c>
      <c r="U101" s="13" t="s">
        <v>52</v>
      </c>
      <c r="V101" s="13" t="s">
        <v>52</v>
      </c>
      <c r="W101" s="245" t="s">
        <v>52</v>
      </c>
      <c r="X101" s="283" t="str">
        <f>W101</f>
        <v>NR</v>
      </c>
      <c r="Y101" s="245"/>
      <c r="Z101" s="24" t="s">
        <v>1784</v>
      </c>
      <c r="AA101" s="24" t="s">
        <v>1783</v>
      </c>
      <c r="AB101" s="24">
        <v>16</v>
      </c>
      <c r="AC101" s="20" t="s">
        <v>52</v>
      </c>
      <c r="AD101" s="20" t="s">
        <v>52</v>
      </c>
      <c r="AE101" s="20" t="s">
        <v>52</v>
      </c>
      <c r="AF101" s="19" t="s">
        <v>52</v>
      </c>
      <c r="AG101" s="19" t="s">
        <v>52</v>
      </c>
      <c r="AH101" s="19" t="s">
        <v>52</v>
      </c>
      <c r="AI101" s="44" t="s">
        <v>52</v>
      </c>
      <c r="AJ101" s="16" t="s">
        <v>52</v>
      </c>
      <c r="AK101" s="16" t="s">
        <v>52</v>
      </c>
      <c r="AL101" s="16" t="s">
        <v>52</v>
      </c>
      <c r="AM101" s="239"/>
      <c r="AN101" s="43" t="s">
        <v>52</v>
      </c>
      <c r="AO101" s="13">
        <v>20</v>
      </c>
      <c r="AP101" s="13" t="s">
        <v>52</v>
      </c>
      <c r="AQ101" s="13">
        <v>243.2</v>
      </c>
      <c r="AR101" s="13" t="s">
        <v>1782</v>
      </c>
      <c r="AS101" s="13">
        <v>243.2</v>
      </c>
      <c r="AT101" s="11" t="s">
        <v>52</v>
      </c>
      <c r="AU101" s="11" t="s">
        <v>52</v>
      </c>
      <c r="AV101" s="42" t="s">
        <v>52</v>
      </c>
      <c r="AW101" s="11">
        <v>20</v>
      </c>
      <c r="AX101" s="13" t="s">
        <v>52</v>
      </c>
      <c r="AY101" s="13" t="s">
        <v>52</v>
      </c>
      <c r="AZ101" s="13" t="s">
        <v>1781</v>
      </c>
      <c r="BA101" s="13" t="s">
        <v>608</v>
      </c>
      <c r="BB101" s="13" t="s">
        <v>52</v>
      </c>
      <c r="BC101" s="13" t="s">
        <v>1780</v>
      </c>
      <c r="BD101" s="13" t="s">
        <v>52</v>
      </c>
      <c r="BE101" s="13" t="s">
        <v>52</v>
      </c>
      <c r="BF101" s="13" t="s">
        <v>52</v>
      </c>
      <c r="BG101" s="13" t="s">
        <v>1746</v>
      </c>
      <c r="BH101" s="13" t="s">
        <v>52</v>
      </c>
      <c r="BI101" s="13" t="s">
        <v>52</v>
      </c>
      <c r="BJ101" s="13" t="s">
        <v>52</v>
      </c>
      <c r="BK101" s="13" t="s">
        <v>608</v>
      </c>
      <c r="BL101" s="13" t="s">
        <v>52</v>
      </c>
      <c r="BM101" s="13" t="s">
        <v>52</v>
      </c>
      <c r="BN101" s="13" t="s">
        <v>52</v>
      </c>
      <c r="BO101" s="13" t="s">
        <v>52</v>
      </c>
      <c r="BP101" s="11" t="s">
        <v>52</v>
      </c>
      <c r="BQ101" s="12" t="s">
        <v>52</v>
      </c>
      <c r="BR101" s="11" t="s">
        <v>52</v>
      </c>
      <c r="BS101" s="10" t="s">
        <v>52</v>
      </c>
      <c r="BT101" s="9"/>
    </row>
    <row r="102" spans="1:72" s="8" customFormat="1" ht="15" customHeight="1">
      <c r="A102" s="646" t="s">
        <v>1738</v>
      </c>
      <c r="B102" s="646" t="s">
        <v>1779</v>
      </c>
      <c r="C102" s="643" t="s">
        <v>1778</v>
      </c>
      <c r="D102" s="642" t="s">
        <v>1777</v>
      </c>
      <c r="E102" s="642" t="s">
        <v>1776</v>
      </c>
      <c r="F102" s="26" t="s">
        <v>1775</v>
      </c>
      <c r="G102" s="633" t="s">
        <v>1774</v>
      </c>
      <c r="H102" s="585" t="s">
        <v>1773</v>
      </c>
      <c r="I102" s="585" t="s">
        <v>1772</v>
      </c>
      <c r="J102" s="234">
        <v>23</v>
      </c>
      <c r="K102" s="586">
        <f>J102+J103+J104</f>
        <v>57</v>
      </c>
      <c r="L102" s="245">
        <v>74</v>
      </c>
      <c r="M102" s="617">
        <f>(L102*J102+L103*J103+L104*J104)/K102</f>
        <v>74.385964912280699</v>
      </c>
      <c r="N102" s="266">
        <v>9</v>
      </c>
      <c r="O102" s="617">
        <v>28</v>
      </c>
      <c r="P102" s="275">
        <v>9</v>
      </c>
      <c r="Q102" s="13" t="s">
        <v>1771</v>
      </c>
      <c r="R102" s="13" t="s">
        <v>608</v>
      </c>
      <c r="S102" s="13" t="s">
        <v>52</v>
      </c>
      <c r="T102" s="13" t="s">
        <v>1770</v>
      </c>
      <c r="U102" s="13" t="s">
        <v>52</v>
      </c>
      <c r="V102" s="13" t="s">
        <v>1769</v>
      </c>
      <c r="W102" s="245">
        <v>19</v>
      </c>
      <c r="X102" s="617">
        <f>W102+W103+W104</f>
        <v>47</v>
      </c>
      <c r="Y102" s="245"/>
      <c r="Z102" s="24" t="s">
        <v>1768</v>
      </c>
      <c r="AA102" s="24" t="s">
        <v>1767</v>
      </c>
      <c r="AB102" s="41">
        <f>4*30.4</f>
        <v>121.6</v>
      </c>
      <c r="AC102" s="22">
        <v>23</v>
      </c>
      <c r="AD102" s="22">
        <v>15.2</v>
      </c>
      <c r="AE102" s="21" t="s">
        <v>1766</v>
      </c>
      <c r="AF102" s="11" t="s">
        <v>52</v>
      </c>
      <c r="AG102" s="11" t="s">
        <v>52</v>
      </c>
      <c r="AH102" s="11" t="s">
        <v>52</v>
      </c>
      <c r="AI102" s="594" t="str">
        <f>"OS months: "&amp;AD102&amp;" vs "&amp;AD103&amp;" vs "&amp;AD104&amp;", HR= NR, HR CI= NR, p= NR"</f>
        <v>OS months: 15.2 vs 14.2 vs NR, HR= NR, HR CI= NR, p= NR</v>
      </c>
      <c r="AJ102" s="16">
        <v>23</v>
      </c>
      <c r="AK102" s="16" t="s">
        <v>1765</v>
      </c>
      <c r="AL102" s="16" t="s">
        <v>1764</v>
      </c>
      <c r="AM102" s="239"/>
      <c r="AN102" s="595" t="str">
        <f>"CR/CRi= "&amp;AK102&amp;" vs "&amp;AK103&amp;" vs "&amp;AK104</f>
        <v>CR/CRi= 8 (35%) / 6 (26%) vs 6 (27%) / 7 (32%) vs 0 (0%) / 8 (67%)</v>
      </c>
      <c r="AO102" s="13">
        <v>23</v>
      </c>
      <c r="AP102" s="13" t="s">
        <v>52</v>
      </c>
      <c r="AQ102" s="13">
        <f>1*30.4</f>
        <v>30.4</v>
      </c>
      <c r="AR102" s="13" t="s">
        <v>52</v>
      </c>
      <c r="AS102" s="586" t="str">
        <f>AQ102&amp;" vs "&amp;AQ103&amp;" vs "&amp;AQ104</f>
        <v>30.4 vs 36.48 vs 27.36</v>
      </c>
      <c r="AT102" s="11" t="s">
        <v>52</v>
      </c>
      <c r="AU102" s="11" t="s">
        <v>52</v>
      </c>
      <c r="AV102" s="596" t="s">
        <v>52</v>
      </c>
      <c r="AW102" s="11">
        <v>23</v>
      </c>
      <c r="AX102" s="13" t="s">
        <v>1763</v>
      </c>
      <c r="AY102" s="13" t="s">
        <v>1762</v>
      </c>
      <c r="AZ102" s="13" t="s">
        <v>1761</v>
      </c>
      <c r="BA102" s="30" t="s">
        <v>608</v>
      </c>
      <c r="BB102" s="30" t="s">
        <v>608</v>
      </c>
      <c r="BC102" s="13" t="s">
        <v>1437</v>
      </c>
      <c r="BD102" s="13" t="s">
        <v>1760</v>
      </c>
      <c r="BE102" s="13" t="s">
        <v>1437</v>
      </c>
      <c r="BF102" s="13" t="s">
        <v>52</v>
      </c>
      <c r="BG102" s="13" t="s">
        <v>52</v>
      </c>
      <c r="BH102" s="13" t="s">
        <v>52</v>
      </c>
      <c r="BI102" s="13" t="s">
        <v>52</v>
      </c>
      <c r="BJ102" s="13" t="s">
        <v>52</v>
      </c>
      <c r="BK102" s="13" t="s">
        <v>52</v>
      </c>
      <c r="BL102" s="13" t="s">
        <v>52</v>
      </c>
      <c r="BM102" s="13" t="s">
        <v>608</v>
      </c>
      <c r="BN102" s="13" t="s">
        <v>52</v>
      </c>
      <c r="BO102" s="13" t="s">
        <v>52</v>
      </c>
      <c r="BP102" s="588" t="s">
        <v>52</v>
      </c>
      <c r="BQ102" s="610" t="s">
        <v>52</v>
      </c>
      <c r="BR102" s="569" t="s">
        <v>610</v>
      </c>
      <c r="BS102" s="600" t="s">
        <v>1759</v>
      </c>
      <c r="BT102" s="609"/>
    </row>
    <row r="103" spans="1:72" s="8" customFormat="1" ht="15" customHeight="1">
      <c r="A103" s="646"/>
      <c r="B103" s="646"/>
      <c r="C103" s="644"/>
      <c r="D103" s="642"/>
      <c r="E103" s="642"/>
      <c r="F103" s="26" t="s">
        <v>1758</v>
      </c>
      <c r="G103" s="648"/>
      <c r="H103" s="585"/>
      <c r="I103" s="585"/>
      <c r="J103" s="234">
        <v>22</v>
      </c>
      <c r="K103" s="608"/>
      <c r="L103" s="245">
        <v>75</v>
      </c>
      <c r="M103" s="619"/>
      <c r="N103" s="266">
        <v>11</v>
      </c>
      <c r="O103" s="619"/>
      <c r="P103" s="275">
        <v>11</v>
      </c>
      <c r="Q103" s="13" t="s">
        <v>1757</v>
      </c>
      <c r="R103" s="13" t="s">
        <v>608</v>
      </c>
      <c r="S103" s="13" t="s">
        <v>52</v>
      </c>
      <c r="T103" s="13" t="s">
        <v>1756</v>
      </c>
      <c r="U103" s="13" t="s">
        <v>52</v>
      </c>
      <c r="V103" s="13" t="s">
        <v>1755</v>
      </c>
      <c r="W103" s="245">
        <v>18</v>
      </c>
      <c r="X103" s="619"/>
      <c r="Y103" s="245"/>
      <c r="Z103" s="24" t="s">
        <v>1754</v>
      </c>
      <c r="AA103" s="24" t="s">
        <v>1753</v>
      </c>
      <c r="AB103" s="41">
        <f>4*30.4</f>
        <v>121.6</v>
      </c>
      <c r="AC103" s="22">
        <v>22</v>
      </c>
      <c r="AD103" s="22">
        <v>14.2</v>
      </c>
      <c r="AE103" s="21" t="s">
        <v>1752</v>
      </c>
      <c r="AF103" s="11" t="s">
        <v>52</v>
      </c>
      <c r="AG103" s="11" t="s">
        <v>52</v>
      </c>
      <c r="AH103" s="11" t="s">
        <v>52</v>
      </c>
      <c r="AI103" s="594"/>
      <c r="AJ103" s="16">
        <v>22</v>
      </c>
      <c r="AK103" s="16" t="s">
        <v>1751</v>
      </c>
      <c r="AL103" s="16" t="s">
        <v>1750</v>
      </c>
      <c r="AM103" s="239"/>
      <c r="AN103" s="595"/>
      <c r="AO103" s="13">
        <v>22</v>
      </c>
      <c r="AP103" s="13" t="s">
        <v>52</v>
      </c>
      <c r="AQ103" s="40">
        <f>1.2*30.4</f>
        <v>36.479999999999997</v>
      </c>
      <c r="AR103" s="13" t="s">
        <v>52</v>
      </c>
      <c r="AS103" s="608"/>
      <c r="AT103" s="11" t="s">
        <v>52</v>
      </c>
      <c r="AU103" s="11" t="s">
        <v>52</v>
      </c>
      <c r="AV103" s="596"/>
      <c r="AW103" s="11">
        <v>22</v>
      </c>
      <c r="AX103" s="13" t="s">
        <v>1746</v>
      </c>
      <c r="AY103" s="13" t="s">
        <v>1749</v>
      </c>
      <c r="AZ103" s="13" t="s">
        <v>1748</v>
      </c>
      <c r="BA103" s="30" t="s">
        <v>608</v>
      </c>
      <c r="BB103" s="30" t="s">
        <v>608</v>
      </c>
      <c r="BC103" s="13" t="s">
        <v>1746</v>
      </c>
      <c r="BD103" s="13" t="s">
        <v>1747</v>
      </c>
      <c r="BE103" s="30" t="s">
        <v>608</v>
      </c>
      <c r="BF103" s="13" t="s">
        <v>52</v>
      </c>
      <c r="BG103" s="13" t="s">
        <v>52</v>
      </c>
      <c r="BH103" s="13" t="s">
        <v>52</v>
      </c>
      <c r="BI103" s="13" t="s">
        <v>52</v>
      </c>
      <c r="BJ103" s="13" t="s">
        <v>52</v>
      </c>
      <c r="BK103" s="13" t="s">
        <v>52</v>
      </c>
      <c r="BL103" s="13" t="s">
        <v>52</v>
      </c>
      <c r="BM103" s="13" t="s">
        <v>1746</v>
      </c>
      <c r="BN103" s="13" t="s">
        <v>52</v>
      </c>
      <c r="BO103" s="13" t="s">
        <v>52</v>
      </c>
      <c r="BP103" s="588"/>
      <c r="BQ103" s="610"/>
      <c r="BR103" s="620"/>
      <c r="BS103" s="601"/>
      <c r="BT103" s="609"/>
    </row>
    <row r="104" spans="1:72" s="8" customFormat="1" ht="15" customHeight="1">
      <c r="A104" s="640"/>
      <c r="B104" s="640"/>
      <c r="C104" s="644"/>
      <c r="D104" s="647"/>
      <c r="E104" s="647"/>
      <c r="F104" s="26" t="s">
        <v>1745</v>
      </c>
      <c r="G104" s="648"/>
      <c r="H104" s="625"/>
      <c r="I104" s="625"/>
      <c r="J104" s="244">
        <v>12</v>
      </c>
      <c r="K104" s="587"/>
      <c r="L104" s="236">
        <v>74</v>
      </c>
      <c r="M104" s="619"/>
      <c r="N104" s="272">
        <v>8</v>
      </c>
      <c r="O104" s="619"/>
      <c r="P104" s="281">
        <v>8</v>
      </c>
      <c r="Q104" s="13" t="s">
        <v>1106</v>
      </c>
      <c r="R104" s="13" t="s">
        <v>608</v>
      </c>
      <c r="S104" s="13" t="s">
        <v>52</v>
      </c>
      <c r="T104" s="30" t="s">
        <v>1744</v>
      </c>
      <c r="U104" s="30" t="s">
        <v>52</v>
      </c>
      <c r="V104" s="30" t="s">
        <v>1743</v>
      </c>
      <c r="W104" s="236">
        <v>10</v>
      </c>
      <c r="X104" s="619"/>
      <c r="Y104" s="236"/>
      <c r="Z104" s="39" t="s">
        <v>1739</v>
      </c>
      <c r="AA104" s="39" t="s">
        <v>1742</v>
      </c>
      <c r="AB104" s="38">
        <f>2.3*30.4</f>
        <v>69.919999999999987</v>
      </c>
      <c r="AC104" s="37">
        <v>12</v>
      </c>
      <c r="AD104" s="37" t="s">
        <v>52</v>
      </c>
      <c r="AE104" s="36" t="s">
        <v>52</v>
      </c>
      <c r="AF104" s="35" t="s">
        <v>52</v>
      </c>
      <c r="AG104" s="35" t="s">
        <v>52</v>
      </c>
      <c r="AH104" s="35" t="s">
        <v>52</v>
      </c>
      <c r="AI104" s="598"/>
      <c r="AJ104" s="34">
        <v>12</v>
      </c>
      <c r="AK104" s="33" t="s">
        <v>1741</v>
      </c>
      <c r="AL104" s="33" t="s">
        <v>608</v>
      </c>
      <c r="AM104" s="33"/>
      <c r="AN104" s="607"/>
      <c r="AO104" s="30">
        <v>12</v>
      </c>
      <c r="AP104" s="13" t="s">
        <v>52</v>
      </c>
      <c r="AQ104" s="32">
        <f>0.9*30.4</f>
        <v>27.36</v>
      </c>
      <c r="AR104" s="13" t="s">
        <v>52</v>
      </c>
      <c r="AS104" s="608"/>
      <c r="AT104" s="11" t="s">
        <v>52</v>
      </c>
      <c r="AU104" s="11" t="s">
        <v>52</v>
      </c>
      <c r="AV104" s="626"/>
      <c r="AW104" s="31">
        <v>12</v>
      </c>
      <c r="AX104" s="30" t="s">
        <v>1740</v>
      </c>
      <c r="AY104" s="30" t="s">
        <v>608</v>
      </c>
      <c r="AZ104" s="30" t="s">
        <v>1740</v>
      </c>
      <c r="BA104" s="30" t="s">
        <v>608</v>
      </c>
      <c r="BB104" s="30" t="s">
        <v>608</v>
      </c>
      <c r="BC104" s="30" t="s">
        <v>608</v>
      </c>
      <c r="BD104" s="30" t="s">
        <v>1739</v>
      </c>
      <c r="BE104" s="30" t="s">
        <v>608</v>
      </c>
      <c r="BF104" s="30" t="s">
        <v>52</v>
      </c>
      <c r="BG104" s="30" t="s">
        <v>52</v>
      </c>
      <c r="BH104" s="30" t="s">
        <v>52</v>
      </c>
      <c r="BI104" s="30" t="s">
        <v>52</v>
      </c>
      <c r="BJ104" s="30" t="s">
        <v>52</v>
      </c>
      <c r="BK104" s="30" t="s">
        <v>52</v>
      </c>
      <c r="BL104" s="30" t="s">
        <v>52</v>
      </c>
      <c r="BM104" s="13" t="s">
        <v>608</v>
      </c>
      <c r="BN104" s="30" t="s">
        <v>52</v>
      </c>
      <c r="BO104" s="30" t="s">
        <v>52</v>
      </c>
      <c r="BP104" s="569"/>
      <c r="BQ104" s="613"/>
      <c r="BR104" s="570"/>
      <c r="BS104" s="601"/>
      <c r="BT104" s="609"/>
    </row>
    <row r="105" spans="1:72" s="8" customFormat="1" ht="15" customHeight="1">
      <c r="A105" s="29" t="s">
        <v>1738</v>
      </c>
      <c r="B105" s="29" t="s">
        <v>1737</v>
      </c>
      <c r="C105" s="28" t="s">
        <v>1736</v>
      </c>
      <c r="D105" s="27" t="s">
        <v>1735</v>
      </c>
      <c r="E105" s="27" t="s">
        <v>1734</v>
      </c>
      <c r="F105" s="26" t="s">
        <v>1733</v>
      </c>
      <c r="G105" s="26" t="s">
        <v>1732</v>
      </c>
      <c r="H105" s="25" t="s">
        <v>1731</v>
      </c>
      <c r="I105" s="25" t="s">
        <v>1730</v>
      </c>
      <c r="J105" s="234">
        <v>18</v>
      </c>
      <c r="K105" s="245">
        <f>J105</f>
        <v>18</v>
      </c>
      <c r="L105" s="245">
        <v>74</v>
      </c>
      <c r="M105" s="13">
        <f>L105</f>
        <v>74</v>
      </c>
      <c r="N105" s="266">
        <v>12</v>
      </c>
      <c r="O105" s="283">
        <v>12</v>
      </c>
      <c r="P105" s="275">
        <v>12</v>
      </c>
      <c r="Q105" s="13" t="s">
        <v>783</v>
      </c>
      <c r="R105" s="13" t="s">
        <v>1729</v>
      </c>
      <c r="S105" s="13" t="s">
        <v>52</v>
      </c>
      <c r="T105" s="13" t="s">
        <v>52</v>
      </c>
      <c r="U105" s="13" t="s">
        <v>52</v>
      </c>
      <c r="V105" s="13" t="s">
        <v>52</v>
      </c>
      <c r="W105" s="245" t="s">
        <v>52</v>
      </c>
      <c r="X105" s="283" t="str">
        <f>W105</f>
        <v>NR</v>
      </c>
      <c r="Y105" s="245"/>
      <c r="Z105" s="24" t="s">
        <v>52</v>
      </c>
      <c r="AA105" s="24" t="s">
        <v>52</v>
      </c>
      <c r="AB105" s="23">
        <v>127.5</v>
      </c>
      <c r="AC105" s="20" t="s">
        <v>52</v>
      </c>
      <c r="AD105" s="20" t="s">
        <v>52</v>
      </c>
      <c r="AE105" s="20" t="s">
        <v>52</v>
      </c>
      <c r="AF105" s="19" t="s">
        <v>52</v>
      </c>
      <c r="AG105" s="19" t="s">
        <v>52</v>
      </c>
      <c r="AH105" s="19" t="s">
        <v>52</v>
      </c>
      <c r="AI105" s="18" t="s">
        <v>52</v>
      </c>
      <c r="AJ105" s="16">
        <v>18</v>
      </c>
      <c r="AK105" s="16" t="s">
        <v>1727</v>
      </c>
      <c r="AL105" s="17" t="s">
        <v>1728</v>
      </c>
      <c r="AM105" s="17"/>
      <c r="AN105" s="16" t="s">
        <v>1727</v>
      </c>
      <c r="AO105" s="13" t="s">
        <v>52</v>
      </c>
      <c r="AP105" s="13" t="s">
        <v>52</v>
      </c>
      <c r="AQ105" s="13" t="s">
        <v>52</v>
      </c>
      <c r="AR105" s="13" t="s">
        <v>52</v>
      </c>
      <c r="AS105" s="13" t="s">
        <v>52</v>
      </c>
      <c r="AT105" s="11" t="s">
        <v>52</v>
      </c>
      <c r="AU105" s="11" t="s">
        <v>52</v>
      </c>
      <c r="AV105" s="15" t="s">
        <v>52</v>
      </c>
      <c r="AW105" s="11">
        <v>18</v>
      </c>
      <c r="AX105" s="13" t="s">
        <v>1726</v>
      </c>
      <c r="AY105" s="13" t="s">
        <v>1723</v>
      </c>
      <c r="AZ105" s="13" t="s">
        <v>52</v>
      </c>
      <c r="BA105" s="13" t="s">
        <v>781</v>
      </c>
      <c r="BB105" s="13" t="s">
        <v>52</v>
      </c>
      <c r="BC105" s="14" t="s">
        <v>1725</v>
      </c>
      <c r="BD105" s="13" t="s">
        <v>1724</v>
      </c>
      <c r="BE105" s="14" t="s">
        <v>1723</v>
      </c>
      <c r="BF105" s="13" t="s">
        <v>52</v>
      </c>
      <c r="BG105" s="13" t="s">
        <v>52</v>
      </c>
      <c r="BH105" s="13" t="s">
        <v>52</v>
      </c>
      <c r="BI105" s="13" t="s">
        <v>52</v>
      </c>
      <c r="BJ105" s="13" t="s">
        <v>52</v>
      </c>
      <c r="BK105" s="13" t="s">
        <v>52</v>
      </c>
      <c r="BL105" s="13" t="s">
        <v>52</v>
      </c>
      <c r="BM105" s="13" t="s">
        <v>52</v>
      </c>
      <c r="BN105" s="13" t="s">
        <v>52</v>
      </c>
      <c r="BO105" s="13" t="s">
        <v>52</v>
      </c>
      <c r="BP105" s="11" t="s">
        <v>52</v>
      </c>
      <c r="BQ105" s="12" t="s">
        <v>52</v>
      </c>
      <c r="BR105" s="11" t="s">
        <v>52</v>
      </c>
      <c r="BS105" s="10" t="s">
        <v>52</v>
      </c>
      <c r="BT105" s="9"/>
    </row>
  </sheetData>
  <autoFilter ref="A1:BT1" xr:uid="{D0534B79-F90D-42BA-A4BF-8F5E036599AE}"/>
  <mergeCells count="966">
    <mergeCell ref="AN51:AN52"/>
    <mergeCell ref="BP69:BP70"/>
    <mergeCell ref="BQ69:BQ70"/>
    <mergeCell ref="BP90:BP91"/>
    <mergeCell ref="BQ90:BQ91"/>
    <mergeCell ref="X67:X68"/>
    <mergeCell ref="X69:X70"/>
    <mergeCell ref="X71:X72"/>
    <mergeCell ref="X73:X74"/>
    <mergeCell ref="X75:X76"/>
    <mergeCell ref="X77:X78"/>
    <mergeCell ref="X79:X80"/>
    <mergeCell ref="X81:X82"/>
    <mergeCell ref="X83:X84"/>
    <mergeCell ref="X85:X87"/>
    <mergeCell ref="X88:X89"/>
    <mergeCell ref="X90:X91"/>
    <mergeCell ref="BQ53:BQ54"/>
    <mergeCell ref="AN53:AN54"/>
    <mergeCell ref="AS53:AS54"/>
    <mergeCell ref="AV53:AV54"/>
    <mergeCell ref="BP53:BP54"/>
    <mergeCell ref="BP51:BP52"/>
    <mergeCell ref="BQ51:BQ52"/>
    <mergeCell ref="Y4:Y5"/>
    <mergeCell ref="Y6:Y7"/>
    <mergeCell ref="Y8:Y9"/>
    <mergeCell ref="X2:X3"/>
    <mergeCell ref="X4:X5"/>
    <mergeCell ref="X6:X7"/>
    <mergeCell ref="X8:X9"/>
    <mergeCell ref="X10:X11"/>
    <mergeCell ref="X92:X93"/>
    <mergeCell ref="X30:X31"/>
    <mergeCell ref="X32:X33"/>
    <mergeCell ref="X34:X35"/>
    <mergeCell ref="X36:X37"/>
    <mergeCell ref="X38:X39"/>
    <mergeCell ref="X40:X41"/>
    <mergeCell ref="X42:X43"/>
    <mergeCell ref="X44:X45"/>
    <mergeCell ref="X46:X48"/>
    <mergeCell ref="X49:X50"/>
    <mergeCell ref="X51:X52"/>
    <mergeCell ref="X53:X54"/>
    <mergeCell ref="X55:X56"/>
    <mergeCell ref="X57:X58"/>
    <mergeCell ref="X59:X60"/>
    <mergeCell ref="BS57:BS58"/>
    <mergeCell ref="BS59:BS60"/>
    <mergeCell ref="BR40:BR41"/>
    <mergeCell ref="BR42:BR43"/>
    <mergeCell ref="BR44:BR45"/>
    <mergeCell ref="BR46:BR48"/>
    <mergeCell ref="O2:O3"/>
    <mergeCell ref="O4:O5"/>
    <mergeCell ref="O6:O7"/>
    <mergeCell ref="O8:O9"/>
    <mergeCell ref="O10:O11"/>
    <mergeCell ref="O12:O13"/>
    <mergeCell ref="O14:O15"/>
    <mergeCell ref="O16:O17"/>
    <mergeCell ref="O18:O19"/>
    <mergeCell ref="O51:O52"/>
    <mergeCell ref="O53:O54"/>
    <mergeCell ref="O55:O56"/>
    <mergeCell ref="O57:O58"/>
    <mergeCell ref="O59:O60"/>
    <mergeCell ref="X12:X13"/>
    <mergeCell ref="X14:X15"/>
    <mergeCell ref="X16:X17"/>
    <mergeCell ref="X18:X19"/>
    <mergeCell ref="BS83:BS84"/>
    <mergeCell ref="BR38:BR39"/>
    <mergeCell ref="BS40:BS41"/>
    <mergeCell ref="BS42:BS43"/>
    <mergeCell ref="BS44:BS45"/>
    <mergeCell ref="BS46:BS48"/>
    <mergeCell ref="BS49:BS50"/>
    <mergeCell ref="BS61:BS64"/>
    <mergeCell ref="BS65:BS66"/>
    <mergeCell ref="BS67:BS68"/>
    <mergeCell ref="BS71:BS72"/>
    <mergeCell ref="BS73:BS74"/>
    <mergeCell ref="BS75:BS76"/>
    <mergeCell ref="BS69:BS70"/>
    <mergeCell ref="BR69:BR70"/>
    <mergeCell ref="BR77:BR78"/>
    <mergeCell ref="BR61:BR64"/>
    <mergeCell ref="BR65:BR66"/>
    <mergeCell ref="BR67:BR68"/>
    <mergeCell ref="BR71:BR72"/>
    <mergeCell ref="BR73:BR74"/>
    <mergeCell ref="BS51:BS52"/>
    <mergeCell ref="BS53:BS54"/>
    <mergeCell ref="BS55:BS56"/>
    <mergeCell ref="BS34:BS35"/>
    <mergeCell ref="BQ32:BQ33"/>
    <mergeCell ref="AS20:AS21"/>
    <mergeCell ref="AS28:AS29"/>
    <mergeCell ref="AS30:AS31"/>
    <mergeCell ref="BP26:BP27"/>
    <mergeCell ref="AS26:AS27"/>
    <mergeCell ref="AV26:AV27"/>
    <mergeCell ref="BR22:BR23"/>
    <mergeCell ref="BR24:BR25"/>
    <mergeCell ref="BR26:BR27"/>
    <mergeCell ref="BQ28:BQ29"/>
    <mergeCell ref="AV20:AV21"/>
    <mergeCell ref="BQ30:BQ31"/>
    <mergeCell ref="BQ34:BQ35"/>
    <mergeCell ref="AV32:AV33"/>
    <mergeCell ref="BP2:BP3"/>
    <mergeCell ref="BQ2:BQ3"/>
    <mergeCell ref="BP8:BP9"/>
    <mergeCell ref="BR4:BR5"/>
    <mergeCell ref="BR16:BR17"/>
    <mergeCell ref="BR18:BR19"/>
    <mergeCell ref="BR20:BR21"/>
    <mergeCell ref="BP20:BP21"/>
    <mergeCell ref="BQ20:BQ21"/>
    <mergeCell ref="BR12:BR13"/>
    <mergeCell ref="BR14:BR15"/>
    <mergeCell ref="BQ6:BQ7"/>
    <mergeCell ref="AV8:AV9"/>
    <mergeCell ref="BP28:BP29"/>
    <mergeCell ref="BQ24:BQ25"/>
    <mergeCell ref="AV10:AV11"/>
    <mergeCell ref="BP10:BP11"/>
    <mergeCell ref="BQ10:BQ11"/>
    <mergeCell ref="BQ18:BQ19"/>
    <mergeCell ref="AV18:AV19"/>
    <mergeCell ref="BQ16:BQ17"/>
    <mergeCell ref="BQ12:BQ13"/>
    <mergeCell ref="BR36:BR37"/>
    <mergeCell ref="BS77:BS78"/>
    <mergeCell ref="BS79:BS80"/>
    <mergeCell ref="BS81:BS82"/>
    <mergeCell ref="BS2:BS3"/>
    <mergeCell ref="BS6:BS7"/>
    <mergeCell ref="BS8:BS9"/>
    <mergeCell ref="BS12:BS13"/>
    <mergeCell ref="BS14:BS15"/>
    <mergeCell ref="BS16:BS17"/>
    <mergeCell ref="BS18:BS19"/>
    <mergeCell ref="BS20:BS21"/>
    <mergeCell ref="BS22:BS23"/>
    <mergeCell ref="BS10:BS11"/>
    <mergeCell ref="BS4:BS5"/>
    <mergeCell ref="BR2:BR3"/>
    <mergeCell ref="BR6:BR7"/>
    <mergeCell ref="BR8:BR9"/>
    <mergeCell ref="BR10:BR11"/>
    <mergeCell ref="BS24:BS25"/>
    <mergeCell ref="BS26:BS27"/>
    <mergeCell ref="BS28:BS29"/>
    <mergeCell ref="BS30:BS31"/>
    <mergeCell ref="BS32:BS33"/>
    <mergeCell ref="A18:A19"/>
    <mergeCell ref="C18:C19"/>
    <mergeCell ref="C16:C17"/>
    <mergeCell ref="D16:D17"/>
    <mergeCell ref="BR75:BR76"/>
    <mergeCell ref="BS85:BS87"/>
    <mergeCell ref="BS88:BS89"/>
    <mergeCell ref="BR79:BR80"/>
    <mergeCell ref="BR81:BR82"/>
    <mergeCell ref="BR83:BR84"/>
    <mergeCell ref="BR85:BR87"/>
    <mergeCell ref="BR88:BR89"/>
    <mergeCell ref="BR28:BR29"/>
    <mergeCell ref="BR30:BR31"/>
    <mergeCell ref="BR32:BR33"/>
    <mergeCell ref="BR34:BR35"/>
    <mergeCell ref="BR49:BR50"/>
    <mergeCell ref="BR51:BR52"/>
    <mergeCell ref="BR53:BR54"/>
    <mergeCell ref="BR55:BR56"/>
    <mergeCell ref="BR57:BR58"/>
    <mergeCell ref="BR59:BR60"/>
    <mergeCell ref="BS36:BS37"/>
    <mergeCell ref="BS38:BS39"/>
    <mergeCell ref="H10:H11"/>
    <mergeCell ref="I10:I11"/>
    <mergeCell ref="K10:K11"/>
    <mergeCell ref="AI16:AI17"/>
    <mergeCell ref="AN18:AN19"/>
    <mergeCell ref="E14:E15"/>
    <mergeCell ref="AS18:AS19"/>
    <mergeCell ref="BP14:BP15"/>
    <mergeCell ref="BP18:BP19"/>
    <mergeCell ref="BP16:BP17"/>
    <mergeCell ref="AS10:AS11"/>
    <mergeCell ref="E10:E11"/>
    <mergeCell ref="G10:G11"/>
    <mergeCell ref="AN16:AN17"/>
    <mergeCell ref="AS16:AS17"/>
    <mergeCell ref="AS12:AS13"/>
    <mergeCell ref="I14:I15"/>
    <mergeCell ref="K14:K15"/>
    <mergeCell ref="M14:M15"/>
    <mergeCell ref="E16:E17"/>
    <mergeCell ref="AV16:AV17"/>
    <mergeCell ref="BQ38:BQ39"/>
    <mergeCell ref="AN22:AN23"/>
    <mergeCell ref="AS22:AS23"/>
    <mergeCell ref="AV24:AV25"/>
    <mergeCell ref="BP24:BP25"/>
    <mergeCell ref="BQ22:BQ23"/>
    <mergeCell ref="AV40:AV41"/>
    <mergeCell ref="BP40:BP41"/>
    <mergeCell ref="BQ40:BQ41"/>
    <mergeCell ref="AV22:AV23"/>
    <mergeCell ref="AN32:AN33"/>
    <mergeCell ref="AS32:AS33"/>
    <mergeCell ref="AN24:AN25"/>
    <mergeCell ref="AS24:AS25"/>
    <mergeCell ref="BP32:BP33"/>
    <mergeCell ref="AN30:AN31"/>
    <mergeCell ref="BP22:BP23"/>
    <mergeCell ref="AV38:AV39"/>
    <mergeCell ref="AS34:AS35"/>
    <mergeCell ref="AV34:AV35"/>
    <mergeCell ref="BP34:BP35"/>
    <mergeCell ref="AV28:AV29"/>
    <mergeCell ref="BP30:BP31"/>
    <mergeCell ref="AV30:AV31"/>
    <mergeCell ref="G53:G54"/>
    <mergeCell ref="H26:H27"/>
    <mergeCell ref="G24:G25"/>
    <mergeCell ref="M10:M11"/>
    <mergeCell ref="AI10:AI11"/>
    <mergeCell ref="AN10:AN11"/>
    <mergeCell ref="H30:H31"/>
    <mergeCell ref="I30:I31"/>
    <mergeCell ref="S30:S31"/>
    <mergeCell ref="G30:G31"/>
    <mergeCell ref="H46:H48"/>
    <mergeCell ref="M51:M52"/>
    <mergeCell ref="AN12:AN13"/>
    <mergeCell ref="H28:H29"/>
    <mergeCell ref="I28:I29"/>
    <mergeCell ref="G38:G39"/>
    <mergeCell ref="G40:G41"/>
    <mergeCell ref="G42:G43"/>
    <mergeCell ref="G44:G45"/>
    <mergeCell ref="G12:G13"/>
    <mergeCell ref="S40:S41"/>
    <mergeCell ref="O36:O37"/>
    <mergeCell ref="O38:O39"/>
    <mergeCell ref="O40:O41"/>
    <mergeCell ref="AN2:AN3"/>
    <mergeCell ref="AS2:AS3"/>
    <mergeCell ref="AV2:AV3"/>
    <mergeCell ref="A2:A3"/>
    <mergeCell ref="C2:C3"/>
    <mergeCell ref="D2:D3"/>
    <mergeCell ref="E2:E3"/>
    <mergeCell ref="H2:H3"/>
    <mergeCell ref="I2:I3"/>
    <mergeCell ref="G2:G3"/>
    <mergeCell ref="K2:K3"/>
    <mergeCell ref="M2:M3"/>
    <mergeCell ref="AI2:AI3"/>
    <mergeCell ref="Y2:Y3"/>
    <mergeCell ref="H55:H56"/>
    <mergeCell ref="I46:I48"/>
    <mergeCell ref="K46:K48"/>
    <mergeCell ref="H24:H25"/>
    <mergeCell ref="H6:H7"/>
    <mergeCell ref="H8:H9"/>
    <mergeCell ref="K12:K13"/>
    <mergeCell ref="M12:M13"/>
    <mergeCell ref="H12:H13"/>
    <mergeCell ref="I12:I13"/>
    <mergeCell ref="I40:I41"/>
    <mergeCell ref="K40:K41"/>
    <mergeCell ref="M40:M41"/>
    <mergeCell ref="H14:H15"/>
    <mergeCell ref="H16:H17"/>
    <mergeCell ref="I16:I17"/>
    <mergeCell ref="I24:I25"/>
    <mergeCell ref="K30:K31"/>
    <mergeCell ref="M30:M31"/>
    <mergeCell ref="M36:M37"/>
    <mergeCell ref="K8:K9"/>
    <mergeCell ref="M8:M9"/>
    <mergeCell ref="K18:K19"/>
    <mergeCell ref="M18:M19"/>
    <mergeCell ref="H20:H21"/>
    <mergeCell ref="I6:I7"/>
    <mergeCell ref="K6:K7"/>
    <mergeCell ref="AI6:AI7"/>
    <mergeCell ref="I20:I21"/>
    <mergeCell ref="AI12:AI13"/>
    <mergeCell ref="M6:M7"/>
    <mergeCell ref="K44:K45"/>
    <mergeCell ref="M44:M45"/>
    <mergeCell ref="I42:I43"/>
    <mergeCell ref="K20:K21"/>
    <mergeCell ref="M20:M21"/>
    <mergeCell ref="K16:K17"/>
    <mergeCell ref="M16:M17"/>
    <mergeCell ref="H18:H19"/>
    <mergeCell ref="I18:I19"/>
    <mergeCell ref="AI42:AI43"/>
    <mergeCell ref="AI18:AI19"/>
    <mergeCell ref="AI20:AI21"/>
    <mergeCell ref="AI32:AI33"/>
    <mergeCell ref="AI22:AI23"/>
    <mergeCell ref="AB24:AB25"/>
    <mergeCell ref="AI28:AI29"/>
    <mergeCell ref="AI8:AI9"/>
    <mergeCell ref="A12:A13"/>
    <mergeCell ref="A6:A7"/>
    <mergeCell ref="C6:C7"/>
    <mergeCell ref="D6:D7"/>
    <mergeCell ref="E6:E7"/>
    <mergeCell ref="BQ8:BQ9"/>
    <mergeCell ref="AI14:AI15"/>
    <mergeCell ref="AN14:AN15"/>
    <mergeCell ref="AS14:AS15"/>
    <mergeCell ref="AV14:AV15"/>
    <mergeCell ref="BQ14:BQ15"/>
    <mergeCell ref="BP12:BP13"/>
    <mergeCell ref="BP6:BP7"/>
    <mergeCell ref="A8:A9"/>
    <mergeCell ref="C8:C9"/>
    <mergeCell ref="D8:D9"/>
    <mergeCell ref="AN6:AN7"/>
    <mergeCell ref="AS6:AS7"/>
    <mergeCell ref="AV6:AV7"/>
    <mergeCell ref="AV12:AV13"/>
    <mergeCell ref="AN8:AN9"/>
    <mergeCell ref="AS8:AS9"/>
    <mergeCell ref="A14:A15"/>
    <mergeCell ref="I8:I9"/>
    <mergeCell ref="AN20:AN21"/>
    <mergeCell ref="AI34:AI35"/>
    <mergeCell ref="AI30:AI31"/>
    <mergeCell ref="R22:R23"/>
    <mergeCell ref="K22:K23"/>
    <mergeCell ref="M22:M23"/>
    <mergeCell ref="AN26:AN27"/>
    <mergeCell ref="X20:X21"/>
    <mergeCell ref="O20:O21"/>
    <mergeCell ref="K24:K25"/>
    <mergeCell ref="M24:M25"/>
    <mergeCell ref="K32:K33"/>
    <mergeCell ref="M32:M33"/>
    <mergeCell ref="AI24:AI25"/>
    <mergeCell ref="S26:S27"/>
    <mergeCell ref="K28:K29"/>
    <mergeCell ref="M28:M29"/>
    <mergeCell ref="S28:S29"/>
    <mergeCell ref="K34:K35"/>
    <mergeCell ref="S34:S35"/>
    <mergeCell ref="X28:X29"/>
    <mergeCell ref="O34:O35"/>
    <mergeCell ref="S32:S33"/>
    <mergeCell ref="I32:I33"/>
    <mergeCell ref="H32:H33"/>
    <mergeCell ref="X22:X23"/>
    <mergeCell ref="X24:X25"/>
    <mergeCell ref="X26:X27"/>
    <mergeCell ref="H22:H23"/>
    <mergeCell ref="I22:I23"/>
    <mergeCell ref="O22:O23"/>
    <mergeCell ref="O24:O25"/>
    <mergeCell ref="O26:O27"/>
    <mergeCell ref="O28:O29"/>
    <mergeCell ref="O30:O31"/>
    <mergeCell ref="O32:O33"/>
    <mergeCell ref="C12:C13"/>
    <mergeCell ref="C14:C15"/>
    <mergeCell ref="D10:D11"/>
    <mergeCell ref="C22:C23"/>
    <mergeCell ref="D22:D23"/>
    <mergeCell ref="E22:E23"/>
    <mergeCell ref="Q22:Q23"/>
    <mergeCell ref="BQ42:BQ43"/>
    <mergeCell ref="AN46:AN48"/>
    <mergeCell ref="AS46:AS48"/>
    <mergeCell ref="BP36:BP37"/>
    <mergeCell ref="BQ36:BQ37"/>
    <mergeCell ref="D32:D33"/>
    <mergeCell ref="C32:C33"/>
    <mergeCell ref="I26:I27"/>
    <mergeCell ref="K26:K27"/>
    <mergeCell ref="M26:M27"/>
    <mergeCell ref="C28:C29"/>
    <mergeCell ref="D28:D29"/>
    <mergeCell ref="E28:E29"/>
    <mergeCell ref="C30:C31"/>
    <mergeCell ref="BQ26:BQ27"/>
    <mergeCell ref="AI26:AI27"/>
    <mergeCell ref="AN28:AN29"/>
    <mergeCell ref="C26:C27"/>
    <mergeCell ref="D26:D27"/>
    <mergeCell ref="S36:S37"/>
    <mergeCell ref="AI36:AI37"/>
    <mergeCell ref="AN34:AN35"/>
    <mergeCell ref="H34:H35"/>
    <mergeCell ref="I34:I35"/>
    <mergeCell ref="BQ46:BQ48"/>
    <mergeCell ref="AN36:AN37"/>
    <mergeCell ref="AS36:AS37"/>
    <mergeCell ref="AV36:AV37"/>
    <mergeCell ref="K42:K43"/>
    <mergeCell ref="M42:M43"/>
    <mergeCell ref="S42:S43"/>
    <mergeCell ref="M34:M35"/>
    <mergeCell ref="M38:M39"/>
    <mergeCell ref="S38:S39"/>
    <mergeCell ref="BQ44:BQ45"/>
    <mergeCell ref="AS42:AS43"/>
    <mergeCell ref="AI40:AI41"/>
    <mergeCell ref="AN40:AN41"/>
    <mergeCell ref="AN38:AN39"/>
    <mergeCell ref="BP46:BP48"/>
    <mergeCell ref="AS40:AS41"/>
    <mergeCell ref="H36:H37"/>
    <mergeCell ref="I36:I37"/>
    <mergeCell ref="K36:K37"/>
    <mergeCell ref="H40:H41"/>
    <mergeCell ref="E38:E39"/>
    <mergeCell ref="H38:H39"/>
    <mergeCell ref="I38:I39"/>
    <mergeCell ref="K38:K39"/>
    <mergeCell ref="G36:G37"/>
    <mergeCell ref="E44:E45"/>
    <mergeCell ref="H44:H45"/>
    <mergeCell ref="I44:I45"/>
    <mergeCell ref="H42:H43"/>
    <mergeCell ref="BP44:BP45"/>
    <mergeCell ref="AV42:AV43"/>
    <mergeCell ref="BP42:BP43"/>
    <mergeCell ref="BP38:BP39"/>
    <mergeCell ref="S44:S45"/>
    <mergeCell ref="AI44:AI45"/>
    <mergeCell ref="AI38:AI39"/>
    <mergeCell ref="E42:E43"/>
    <mergeCell ref="AS38:AS39"/>
    <mergeCell ref="O44:O45"/>
    <mergeCell ref="AN42:AN43"/>
    <mergeCell ref="O42:O43"/>
    <mergeCell ref="M46:M48"/>
    <mergeCell ref="AN44:AN45"/>
    <mergeCell ref="AS44:AS45"/>
    <mergeCell ref="AV44:AV45"/>
    <mergeCell ref="AV49:AV50"/>
    <mergeCell ref="M49:M50"/>
    <mergeCell ref="Q49:Q50"/>
    <mergeCell ref="R49:R50"/>
    <mergeCell ref="G46:G48"/>
    <mergeCell ref="AV46:AV48"/>
    <mergeCell ref="AN49:AN50"/>
    <mergeCell ref="AS49:AS50"/>
    <mergeCell ref="AS51:AS52"/>
    <mergeCell ref="A53:A54"/>
    <mergeCell ref="C53:C54"/>
    <mergeCell ref="D53:D54"/>
    <mergeCell ref="E53:E54"/>
    <mergeCell ref="H53:H54"/>
    <mergeCell ref="I53:I54"/>
    <mergeCell ref="C46:C48"/>
    <mergeCell ref="AI46:AI48"/>
    <mergeCell ref="A46:A48"/>
    <mergeCell ref="D46:D48"/>
    <mergeCell ref="E46:E48"/>
    <mergeCell ref="D49:D50"/>
    <mergeCell ref="E49:E50"/>
    <mergeCell ref="H49:H50"/>
    <mergeCell ref="I49:I50"/>
    <mergeCell ref="K49:K50"/>
    <mergeCell ref="O46:O48"/>
    <mergeCell ref="O49:O50"/>
    <mergeCell ref="AI49:AI50"/>
    <mergeCell ref="A49:A50"/>
    <mergeCell ref="C49:C50"/>
    <mergeCell ref="G51:G52"/>
    <mergeCell ref="G49:G50"/>
    <mergeCell ref="AV55:AV56"/>
    <mergeCell ref="BP55:BP56"/>
    <mergeCell ref="BP59:BP60"/>
    <mergeCell ref="BQ49:BQ50"/>
    <mergeCell ref="A51:A52"/>
    <mergeCell ref="C51:C52"/>
    <mergeCell ref="D51:D52"/>
    <mergeCell ref="E51:E52"/>
    <mergeCell ref="H51:H52"/>
    <mergeCell ref="I51:I52"/>
    <mergeCell ref="K51:K52"/>
    <mergeCell ref="E57:E58"/>
    <mergeCell ref="C55:C56"/>
    <mergeCell ref="D55:D56"/>
    <mergeCell ref="E55:E56"/>
    <mergeCell ref="I55:I56"/>
    <mergeCell ref="K55:K56"/>
    <mergeCell ref="M55:M56"/>
    <mergeCell ref="G55:G56"/>
    <mergeCell ref="BQ55:BQ56"/>
    <mergeCell ref="AI53:AI54"/>
    <mergeCell ref="G57:G58"/>
    <mergeCell ref="BP49:BP50"/>
    <mergeCell ref="AI51:AI52"/>
    <mergeCell ref="E65:E66"/>
    <mergeCell ref="BQ59:BQ60"/>
    <mergeCell ref="AN59:AN60"/>
    <mergeCell ref="AS55:AS56"/>
    <mergeCell ref="AI59:AI60"/>
    <mergeCell ref="V61:V64"/>
    <mergeCell ref="H57:H58"/>
    <mergeCell ref="I57:I58"/>
    <mergeCell ref="K57:K58"/>
    <mergeCell ref="AS59:AS60"/>
    <mergeCell ref="AI57:AI58"/>
    <mergeCell ref="AI55:AI56"/>
    <mergeCell ref="AN55:AN56"/>
    <mergeCell ref="H61:H64"/>
    <mergeCell ref="I61:I64"/>
    <mergeCell ref="K61:K64"/>
    <mergeCell ref="M61:M64"/>
    <mergeCell ref="AV59:AV60"/>
    <mergeCell ref="H59:H60"/>
    <mergeCell ref="I59:I60"/>
    <mergeCell ref="K59:K60"/>
    <mergeCell ref="M59:M60"/>
    <mergeCell ref="AS57:AS58"/>
    <mergeCell ref="AV57:AV58"/>
    <mergeCell ref="AS69:AS70"/>
    <mergeCell ref="M67:M68"/>
    <mergeCell ref="AI67:AI68"/>
    <mergeCell ref="A69:A70"/>
    <mergeCell ref="C69:C70"/>
    <mergeCell ref="D69:D70"/>
    <mergeCell ref="E69:E70"/>
    <mergeCell ref="H69:H70"/>
    <mergeCell ref="I69:I70"/>
    <mergeCell ref="K69:K70"/>
    <mergeCell ref="M69:M70"/>
    <mergeCell ref="AB69:AB70"/>
    <mergeCell ref="A67:A68"/>
    <mergeCell ref="C67:C68"/>
    <mergeCell ref="D67:D68"/>
    <mergeCell ref="E67:E68"/>
    <mergeCell ref="O67:O68"/>
    <mergeCell ref="O69:O70"/>
    <mergeCell ref="BQ67:BQ68"/>
    <mergeCell ref="AN67:AN68"/>
    <mergeCell ref="AN61:AN64"/>
    <mergeCell ref="AS61:AS64"/>
    <mergeCell ref="AV61:AV64"/>
    <mergeCell ref="BP61:BP64"/>
    <mergeCell ref="BQ61:BQ64"/>
    <mergeCell ref="H67:H68"/>
    <mergeCell ref="AS67:AS68"/>
    <mergeCell ref="AV67:AV68"/>
    <mergeCell ref="BP67:BP68"/>
    <mergeCell ref="K67:K68"/>
    <mergeCell ref="I65:I66"/>
    <mergeCell ref="K65:K66"/>
    <mergeCell ref="BP65:BP66"/>
    <mergeCell ref="BQ65:BQ66"/>
    <mergeCell ref="AS65:AS66"/>
    <mergeCell ref="H65:H66"/>
    <mergeCell ref="M65:M66"/>
    <mergeCell ref="O61:O64"/>
    <mergeCell ref="O65:O66"/>
    <mergeCell ref="X61:X64"/>
    <mergeCell ref="X65:X66"/>
    <mergeCell ref="AV71:AV72"/>
    <mergeCell ref="I71:I72"/>
    <mergeCell ref="K71:K72"/>
    <mergeCell ref="M71:M72"/>
    <mergeCell ref="D71:D72"/>
    <mergeCell ref="AN71:AN72"/>
    <mergeCell ref="AS71:AS72"/>
    <mergeCell ref="H71:H72"/>
    <mergeCell ref="E71:E72"/>
    <mergeCell ref="O71:O72"/>
    <mergeCell ref="BP71:BP72"/>
    <mergeCell ref="BQ71:BQ72"/>
    <mergeCell ref="A73:A74"/>
    <mergeCell ref="C73:C74"/>
    <mergeCell ref="D73:D74"/>
    <mergeCell ref="E73:E74"/>
    <mergeCell ref="H73:H74"/>
    <mergeCell ref="AI71:AI72"/>
    <mergeCell ref="AV79:AV80"/>
    <mergeCell ref="AN77:AN78"/>
    <mergeCell ref="BP73:BP74"/>
    <mergeCell ref="BQ77:BQ78"/>
    <mergeCell ref="AS77:AS78"/>
    <mergeCell ref="AI75:AI76"/>
    <mergeCell ref="AV77:AV78"/>
    <mergeCell ref="AV75:AV76"/>
    <mergeCell ref="BP75:BP76"/>
    <mergeCell ref="BQ75:BQ76"/>
    <mergeCell ref="BQ79:BQ80"/>
    <mergeCell ref="AI73:AI74"/>
    <mergeCell ref="AS75:AS76"/>
    <mergeCell ref="B75:B76"/>
    <mergeCell ref="B77:B78"/>
    <mergeCell ref="B79:B80"/>
    <mergeCell ref="M75:M76"/>
    <mergeCell ref="K77:K78"/>
    <mergeCell ref="M77:M78"/>
    <mergeCell ref="O73:O74"/>
    <mergeCell ref="O75:O76"/>
    <mergeCell ref="O77:O78"/>
    <mergeCell ref="O79:O80"/>
    <mergeCell ref="O81:O82"/>
    <mergeCell ref="BQ81:BQ82"/>
    <mergeCell ref="AI81:AI82"/>
    <mergeCell ref="AN81:AN82"/>
    <mergeCell ref="AS73:AS74"/>
    <mergeCell ref="AV73:AV74"/>
    <mergeCell ref="AI79:AI80"/>
    <mergeCell ref="BP85:BP87"/>
    <mergeCell ref="BQ85:BQ87"/>
    <mergeCell ref="G85:G87"/>
    <mergeCell ref="H85:H87"/>
    <mergeCell ref="I85:I87"/>
    <mergeCell ref="AV81:AV82"/>
    <mergeCell ref="BP81:BP82"/>
    <mergeCell ref="AS83:AS84"/>
    <mergeCell ref="AV83:AV84"/>
    <mergeCell ref="BP83:BP84"/>
    <mergeCell ref="AI85:AI87"/>
    <mergeCell ref="H83:H84"/>
    <mergeCell ref="I83:I84"/>
    <mergeCell ref="K83:K84"/>
    <mergeCell ref="M83:M84"/>
    <mergeCell ref="H81:H82"/>
    <mergeCell ref="AN85:AN87"/>
    <mergeCell ref="AS85:AS87"/>
    <mergeCell ref="AV85:AV87"/>
    <mergeCell ref="O83:O84"/>
    <mergeCell ref="O85:O87"/>
    <mergeCell ref="AI83:AI84"/>
    <mergeCell ref="AN83:AN84"/>
    <mergeCell ref="K85:K87"/>
    <mergeCell ref="A77:A78"/>
    <mergeCell ref="M85:M87"/>
    <mergeCell ref="O90:O91"/>
    <mergeCell ref="B90:B91"/>
    <mergeCell ref="A90:A91"/>
    <mergeCell ref="C90:C91"/>
    <mergeCell ref="D90:D91"/>
    <mergeCell ref="E90:E91"/>
    <mergeCell ref="G90:G91"/>
    <mergeCell ref="C88:C89"/>
    <mergeCell ref="D88:D89"/>
    <mergeCell ref="B88:B89"/>
    <mergeCell ref="A88:A89"/>
    <mergeCell ref="I79:I80"/>
    <mergeCell ref="K79:K80"/>
    <mergeCell ref="I81:I82"/>
    <mergeCell ref="G81:G82"/>
    <mergeCell ref="G79:G80"/>
    <mergeCell ref="D85:D87"/>
    <mergeCell ref="E85:E87"/>
    <mergeCell ref="D81:D82"/>
    <mergeCell ref="E81:E82"/>
    <mergeCell ref="K81:K82"/>
    <mergeCell ref="B53:B54"/>
    <mergeCell ref="B55:B56"/>
    <mergeCell ref="D59:D60"/>
    <mergeCell ref="G83:G84"/>
    <mergeCell ref="K88:K89"/>
    <mergeCell ref="O88:O89"/>
    <mergeCell ref="A55:A56"/>
    <mergeCell ref="A44:A45"/>
    <mergeCell ref="C44:C45"/>
    <mergeCell ref="D44:D45"/>
    <mergeCell ref="B81:B82"/>
    <mergeCell ref="E88:E89"/>
    <mergeCell ref="C83:C84"/>
    <mergeCell ref="D83:D84"/>
    <mergeCell ref="E83:E84"/>
    <mergeCell ref="D75:D76"/>
    <mergeCell ref="E75:E76"/>
    <mergeCell ref="A79:A80"/>
    <mergeCell ref="C79:C80"/>
    <mergeCell ref="B83:B84"/>
    <mergeCell ref="B85:B87"/>
    <mergeCell ref="A75:A76"/>
    <mergeCell ref="A81:A82"/>
    <mergeCell ref="C81:C82"/>
    <mergeCell ref="C34:C35"/>
    <mergeCell ref="A26:A27"/>
    <mergeCell ref="C24:C25"/>
    <mergeCell ref="I77:I78"/>
    <mergeCell ref="G75:G76"/>
    <mergeCell ref="H75:H76"/>
    <mergeCell ref="M57:M58"/>
    <mergeCell ref="AA61:AA64"/>
    <mergeCell ref="AB61:AB64"/>
    <mergeCell ref="I67:I68"/>
    <mergeCell ref="I73:I74"/>
    <mergeCell ref="K73:K74"/>
    <mergeCell ref="M73:M74"/>
    <mergeCell ref="G73:G74"/>
    <mergeCell ref="G77:G78"/>
    <mergeCell ref="G71:G72"/>
    <mergeCell ref="H77:H78"/>
    <mergeCell ref="I75:I76"/>
    <mergeCell ref="K75:K76"/>
    <mergeCell ref="G59:G60"/>
    <mergeCell ref="G61:G64"/>
    <mergeCell ref="G65:G66"/>
    <mergeCell ref="G67:G68"/>
    <mergeCell ref="C77:C78"/>
    <mergeCell ref="A16:A17"/>
    <mergeCell ref="D24:D25"/>
    <mergeCell ref="A22:A23"/>
    <mergeCell ref="A10:A11"/>
    <mergeCell ref="B10:B11"/>
    <mergeCell ref="C10:C11"/>
    <mergeCell ref="A38:A39"/>
    <mergeCell ref="C38:C39"/>
    <mergeCell ref="D38:D39"/>
    <mergeCell ref="A28:A29"/>
    <mergeCell ref="A30:A31"/>
    <mergeCell ref="A20:A21"/>
    <mergeCell ref="B24:B25"/>
    <mergeCell ref="B26:B27"/>
    <mergeCell ref="B28:B29"/>
    <mergeCell ref="B30:B31"/>
    <mergeCell ref="B32:B33"/>
    <mergeCell ref="B34:B35"/>
    <mergeCell ref="B36:B37"/>
    <mergeCell ref="B38:B39"/>
    <mergeCell ref="A32:A33"/>
    <mergeCell ref="A36:A37"/>
    <mergeCell ref="C20:C21"/>
    <mergeCell ref="D20:D21"/>
    <mergeCell ref="G4:G5"/>
    <mergeCell ref="E36:E37"/>
    <mergeCell ref="E20:E21"/>
    <mergeCell ref="E8:E9"/>
    <mergeCell ref="D14:D15"/>
    <mergeCell ref="D12:D13"/>
    <mergeCell ref="E12:E13"/>
    <mergeCell ref="G14:G15"/>
    <mergeCell ref="G6:G7"/>
    <mergeCell ref="G8:G9"/>
    <mergeCell ref="D30:D31"/>
    <mergeCell ref="E34:E35"/>
    <mergeCell ref="G34:G35"/>
    <mergeCell ref="E26:E27"/>
    <mergeCell ref="E24:E25"/>
    <mergeCell ref="G22:G23"/>
    <mergeCell ref="G32:G33"/>
    <mergeCell ref="E30:E31"/>
    <mergeCell ref="E32:E33"/>
    <mergeCell ref="G18:G19"/>
    <mergeCell ref="G20:G21"/>
    <mergeCell ref="E18:E19"/>
    <mergeCell ref="D18:D19"/>
    <mergeCell ref="A98:A99"/>
    <mergeCell ref="A94:A95"/>
    <mergeCell ref="D94:D95"/>
    <mergeCell ref="E94:E95"/>
    <mergeCell ref="G94:G95"/>
    <mergeCell ref="A92:A93"/>
    <mergeCell ref="B98:B99"/>
    <mergeCell ref="B94:B95"/>
    <mergeCell ref="C98:C99"/>
    <mergeCell ref="D98:D99"/>
    <mergeCell ref="E98:E99"/>
    <mergeCell ref="C94:C95"/>
    <mergeCell ref="C92:C93"/>
    <mergeCell ref="D92:D93"/>
    <mergeCell ref="E92:E93"/>
    <mergeCell ref="B92:B93"/>
    <mergeCell ref="A71:A72"/>
    <mergeCell ref="C71:C72"/>
    <mergeCell ref="A65:A66"/>
    <mergeCell ref="D65:D66"/>
    <mergeCell ref="C40:C41"/>
    <mergeCell ref="B57:B58"/>
    <mergeCell ref="B59:B60"/>
    <mergeCell ref="B61:B64"/>
    <mergeCell ref="H92:H93"/>
    <mergeCell ref="A42:A43"/>
    <mergeCell ref="C42:C43"/>
    <mergeCell ref="E59:E60"/>
    <mergeCell ref="A57:A58"/>
    <mergeCell ref="D42:D43"/>
    <mergeCell ref="B40:B41"/>
    <mergeCell ref="A40:A41"/>
    <mergeCell ref="D77:D78"/>
    <mergeCell ref="E77:E78"/>
    <mergeCell ref="C57:C58"/>
    <mergeCell ref="D57:D58"/>
    <mergeCell ref="B44:B45"/>
    <mergeCell ref="B46:B48"/>
    <mergeCell ref="B49:B50"/>
    <mergeCell ref="B51:B52"/>
    <mergeCell ref="H4:H5"/>
    <mergeCell ref="G16:G17"/>
    <mergeCell ref="A24:A25"/>
    <mergeCell ref="A61:A64"/>
    <mergeCell ref="C61:C64"/>
    <mergeCell ref="D61:D64"/>
    <mergeCell ref="A102:A104"/>
    <mergeCell ref="C102:C104"/>
    <mergeCell ref="D102:D104"/>
    <mergeCell ref="E102:E104"/>
    <mergeCell ref="G102:G104"/>
    <mergeCell ref="B102:B104"/>
    <mergeCell ref="H102:H104"/>
    <mergeCell ref="B65:B66"/>
    <mergeCell ref="B67:B68"/>
    <mergeCell ref="B69:B70"/>
    <mergeCell ref="B71:B72"/>
    <mergeCell ref="B73:B74"/>
    <mergeCell ref="C75:C76"/>
    <mergeCell ref="A83:A84"/>
    <mergeCell ref="D79:D80"/>
    <mergeCell ref="E79:E80"/>
    <mergeCell ref="A85:A87"/>
    <mergeCell ref="C85:C87"/>
    <mergeCell ref="C65:C66"/>
    <mergeCell ref="B42:B43"/>
    <mergeCell ref="E61:E64"/>
    <mergeCell ref="A59:A60"/>
    <mergeCell ref="C59:C60"/>
    <mergeCell ref="B2:B3"/>
    <mergeCell ref="B6:B7"/>
    <mergeCell ref="B8:B9"/>
    <mergeCell ref="B12:B13"/>
    <mergeCell ref="B14:B15"/>
    <mergeCell ref="B16:B17"/>
    <mergeCell ref="B18:B19"/>
    <mergeCell ref="B20:B21"/>
    <mergeCell ref="B22:B23"/>
    <mergeCell ref="D40:D41"/>
    <mergeCell ref="E40:E41"/>
    <mergeCell ref="D34:D35"/>
    <mergeCell ref="D36:D37"/>
    <mergeCell ref="A34:A35"/>
    <mergeCell ref="A4:A5"/>
    <mergeCell ref="B4:B5"/>
    <mergeCell ref="C4:C5"/>
    <mergeCell ref="D4:D5"/>
    <mergeCell ref="E4:E5"/>
    <mergeCell ref="C36:C37"/>
    <mergeCell ref="G88:G89"/>
    <mergeCell ref="I90:I91"/>
    <mergeCell ref="BT92:BT93"/>
    <mergeCell ref="G98:G99"/>
    <mergeCell ref="I98:I99"/>
    <mergeCell ref="K98:K99"/>
    <mergeCell ref="M98:M99"/>
    <mergeCell ref="BS98:BS99"/>
    <mergeCell ref="G92:G93"/>
    <mergeCell ref="M90:M91"/>
    <mergeCell ref="BS92:BS93"/>
    <mergeCell ref="BR90:BR91"/>
    <mergeCell ref="BS90:BS91"/>
    <mergeCell ref="BT98:BT99"/>
    <mergeCell ref="H94:H95"/>
    <mergeCell ref="AV92:AV93"/>
    <mergeCell ref="BP92:BP93"/>
    <mergeCell ref="BQ92:BQ93"/>
    <mergeCell ref="M92:M93"/>
    <mergeCell ref="AV98:AV99"/>
    <mergeCell ref="BP98:BP99"/>
    <mergeCell ref="BQ98:BQ99"/>
    <mergeCell ref="H79:H80"/>
    <mergeCell ref="AN98:AN99"/>
    <mergeCell ref="AS98:AS99"/>
    <mergeCell ref="Z90:Z91"/>
    <mergeCell ref="K90:K91"/>
    <mergeCell ref="I102:I104"/>
    <mergeCell ref="K102:K104"/>
    <mergeCell ref="M102:M104"/>
    <mergeCell ref="AI92:AI93"/>
    <mergeCell ref="AV102:AV104"/>
    <mergeCell ref="M94:M95"/>
    <mergeCell ref="AS90:AS91"/>
    <mergeCell ref="AA90:AA91"/>
    <mergeCell ref="AI94:AI95"/>
    <mergeCell ref="AN94:AN95"/>
    <mergeCell ref="AS94:AS95"/>
    <mergeCell ref="AS92:AS93"/>
    <mergeCell ref="AN90:AN91"/>
    <mergeCell ref="R90:R91"/>
    <mergeCell ref="I92:I93"/>
    <mergeCell ref="K92:K93"/>
    <mergeCell ref="AI90:AI91"/>
    <mergeCell ref="BT102:BT104"/>
    <mergeCell ref="AV94:AV95"/>
    <mergeCell ref="BP94:BP95"/>
    <mergeCell ref="BQ94:BQ95"/>
    <mergeCell ref="BT94:BT95"/>
    <mergeCell ref="H98:H99"/>
    <mergeCell ref="AI98:AI99"/>
    <mergeCell ref="H88:H89"/>
    <mergeCell ref="I88:I89"/>
    <mergeCell ref="H90:H91"/>
    <mergeCell ref="BP102:BP104"/>
    <mergeCell ref="BQ102:BQ104"/>
    <mergeCell ref="BQ88:BQ89"/>
    <mergeCell ref="AS88:AS89"/>
    <mergeCell ref="O94:O95"/>
    <mergeCell ref="O98:O99"/>
    <mergeCell ref="O102:O104"/>
    <mergeCell ref="O92:O93"/>
    <mergeCell ref="X94:X95"/>
    <mergeCell ref="X98:X99"/>
    <mergeCell ref="X102:X104"/>
    <mergeCell ref="BR102:BR104"/>
    <mergeCell ref="I94:I95"/>
    <mergeCell ref="K94:K95"/>
    <mergeCell ref="BS94:BS95"/>
    <mergeCell ref="AI102:AI104"/>
    <mergeCell ref="Q90:Q91"/>
    <mergeCell ref="BQ83:BQ84"/>
    <mergeCell ref="M81:M82"/>
    <mergeCell ref="AN79:AN80"/>
    <mergeCell ref="AS79:AS80"/>
    <mergeCell ref="BP79:BP80"/>
    <mergeCell ref="AN75:AN76"/>
    <mergeCell ref="BP77:BP78"/>
    <mergeCell ref="M79:M80"/>
    <mergeCell ref="S90:S91"/>
    <mergeCell ref="T90:T91"/>
    <mergeCell ref="U90:U91"/>
    <mergeCell ref="V90:V91"/>
    <mergeCell ref="AN92:AN93"/>
    <mergeCell ref="AV88:AV89"/>
    <mergeCell ref="M88:M89"/>
    <mergeCell ref="AN102:AN104"/>
    <mergeCell ref="AS102:AS104"/>
    <mergeCell ref="BS102:BS104"/>
    <mergeCell ref="AI88:AI89"/>
    <mergeCell ref="BP88:BP89"/>
    <mergeCell ref="AN88:AN89"/>
    <mergeCell ref="I4:I5"/>
    <mergeCell ref="K4:K5"/>
    <mergeCell ref="AS81:AS82"/>
    <mergeCell ref="BQ57:BQ58"/>
    <mergeCell ref="K53:K54"/>
    <mergeCell ref="M53:M54"/>
    <mergeCell ref="T53:T54"/>
    <mergeCell ref="AN65:AN66"/>
    <mergeCell ref="BP57:BP58"/>
    <mergeCell ref="M4:M5"/>
    <mergeCell ref="AI4:AI5"/>
    <mergeCell ref="AN4:AN5"/>
    <mergeCell ref="AS4:AS5"/>
    <mergeCell ref="AV4:AV5"/>
    <mergeCell ref="AV65:AV66"/>
    <mergeCell ref="BP4:BP5"/>
    <mergeCell ref="BQ4:BQ5"/>
    <mergeCell ref="AN57:AN58"/>
    <mergeCell ref="AI61:AI64"/>
    <mergeCell ref="AI77:AI78"/>
    <mergeCell ref="AI65:AI66"/>
    <mergeCell ref="AI69:AI70"/>
    <mergeCell ref="BQ73:BQ74"/>
    <mergeCell ref="AN73:AN74"/>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1" ma:contentTypeDescription="Create a new document." ma:contentTypeScope="" ma:versionID="b34b9c2d2d2ae622ceb9becde627447d">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754865f092840b442e748268bc313caa"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93B7383-C274-493E-A8BF-5E1CA37B20C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2502DB8-86F2-4199-9FAF-D4809876F210}">
  <ds:schemaRefs>
    <ds:schemaRef ds:uri="http://schemas.microsoft.com/sharepoint/v3/contenttype/forms"/>
  </ds:schemaRefs>
</ds:datastoreItem>
</file>

<file path=customXml/itemProps3.xml><?xml version="1.0" encoding="utf-8"?>
<ds:datastoreItem xmlns:ds="http://schemas.openxmlformats.org/officeDocument/2006/customXml" ds:itemID="{E4836C4D-2887-43C7-9321-0558944F34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13</vt:i4>
      </vt:variant>
    </vt:vector>
  </HeadingPairs>
  <TitlesOfParts>
    <vt:vector size="19" baseType="lpstr">
      <vt:lpstr>Extraction</vt:lpstr>
      <vt:lpstr>TiAb Review</vt:lpstr>
      <vt:lpstr>RWE-Extraction</vt:lpstr>
      <vt:lpstr>Econ-Extraction</vt:lpstr>
      <vt:lpstr>QOL-Extraction</vt:lpstr>
      <vt:lpstr>CLIN-Extraction</vt:lpstr>
      <vt:lpstr>'Econ-Extraction'!ECON_Ex</vt:lpstr>
      <vt:lpstr>'RWE-Extraction'!ECON_Ex</vt:lpstr>
      <vt:lpstr>'Econ-Extraction'!QOL_Ex</vt:lpstr>
      <vt:lpstr>'QOL-Extraction'!QOL_Ex</vt:lpstr>
      <vt:lpstr>'RWE-Extraction'!QOL_Ex</vt:lpstr>
      <vt:lpstr>'CLIN-Extraction'!RCT_total</vt:lpstr>
      <vt:lpstr>'Econ-Extraction'!RCT_total</vt:lpstr>
      <vt:lpstr>'QOL-Extraction'!RCT_total</vt:lpstr>
      <vt:lpstr>'RWE-Extraction'!RCT_total</vt:lpstr>
      <vt:lpstr>'CLIN-Extraction'!RCT_total2</vt:lpstr>
      <vt:lpstr>'Econ-Extraction'!RCT_total2</vt:lpstr>
      <vt:lpstr>'QOL-Extraction'!RCT_total2</vt:lpstr>
      <vt:lpstr>'RWE-Extraction'!RCT_total2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Kim</dc:creator>
  <cp:lastModifiedBy>Chen He</cp:lastModifiedBy>
  <dcterms:created xsi:type="dcterms:W3CDTF">2019-11-06T17:23:54Z</dcterms:created>
  <dcterms:modified xsi:type="dcterms:W3CDTF">2021-10-15T18:32:33Z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e_c" linkTarget="prop_ae_c">
    <vt:lpwstr>#REF!</vt:lpwstr>
  </property>
  <property fmtid="{D5CDD505-2E9C-101B-9397-08002B2CF9AE}" pid="3" name="AE_t" linkTarget="prop_AE_t">
    <vt:lpwstr>#REF!</vt:lpwstr>
  </property>
  <property fmtid="{D5CDD505-2E9C-101B-9397-08002B2CF9AE}" pid="4" name="ContentTypeId">
    <vt:lpwstr>0x010100BBCC0D8A7D6FE0469D1BA865BCA834CE</vt:lpwstr>
  </property>
</Properties>
</file>