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i(powerpi)\excel\project\"/>
    </mc:Choice>
  </mc:AlternateContent>
  <xr:revisionPtr revIDLastSave="0" documentId="13_ncr:1_{4F7FA3F5-7A6E-413C-AAC0-02627AD05C0A}" xr6:coauthVersionLast="47" xr6:coauthVersionMax="47" xr10:uidLastSave="{00000000-0000-0000-0000-000000000000}"/>
  <bookViews>
    <workbookView xWindow="-108" yWindow="-108" windowWidth="23256" windowHeight="12576" activeTab="1" xr2:uid="{CA261A31-96C8-4F90-A03C-56AD5AF74031}"/>
  </bookViews>
  <sheets>
    <sheet name="Sheet1" sheetId="1" r:id="rId1"/>
    <sheet name="Sheet2" sheetId="2" r:id="rId2"/>
  </sheets>
  <definedNames>
    <definedName name="_xlnm.Print_Area" localSheetId="1">Sheet2!$D$2:$Q$32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5" i="1" l="1"/>
  <c r="AE15" i="1"/>
  <c r="AF15" i="1"/>
  <c r="AG15" i="1"/>
  <c r="F15" i="1"/>
  <c r="E15" i="1"/>
  <c r="D15" i="1"/>
  <c r="C15" i="1"/>
  <c r="AE28" i="2"/>
  <c r="V3" i="2" l="1"/>
  <c r="AI15" i="1"/>
  <c r="AH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K15" i="1"/>
  <c r="J15" i="1"/>
  <c r="I15" i="1"/>
  <c r="H15" i="1"/>
  <c r="G15" i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L6" i="1"/>
  <c r="L15" i="1" s="1"/>
  <c r="E6" i="1"/>
  <c r="F6" i="1" s="1"/>
  <c r="E5" i="1"/>
  <c r="F5" i="1" s="1"/>
  <c r="E4" i="1"/>
  <c r="F4" i="1" s="1"/>
  <c r="E3" i="1"/>
  <c r="Z23" i="2" l="1"/>
  <c r="W3" i="2"/>
  <c r="AA27" i="2"/>
  <c r="Y23" i="2"/>
  <c r="AF26" i="2" s="1"/>
  <c r="AE27" i="2" s="1"/>
  <c r="X27" i="2"/>
  <c r="Y27" i="2"/>
  <c r="Z27" i="2" s="1"/>
  <c r="X47" i="2"/>
  <c r="Y47" i="2" s="1"/>
  <c r="X46" i="2"/>
  <c r="Y46" i="2" s="1"/>
  <c r="F3" i="1"/>
  <c r="AA23" i="2"/>
  <c r="X45" i="2"/>
  <c r="Y45" i="2" s="1"/>
  <c r="X44" i="2"/>
  <c r="Y44" i="2" s="1"/>
  <c r="Z31" i="2"/>
  <c r="Y31" i="2"/>
  <c r="X31" i="2"/>
  <c r="AA31" i="2"/>
  <c r="X23" i="2"/>
  <c r="X19" i="2"/>
  <c r="Y19" i="2"/>
  <c r="W35" i="2"/>
  <c r="W41" i="2"/>
  <c r="X41" i="2"/>
  <c r="X38" i="2"/>
  <c r="X3" i="2"/>
  <c r="W16" i="2"/>
  <c r="W31" i="2"/>
  <c r="W10" i="2"/>
  <c r="W23" i="2"/>
  <c r="W38" i="2"/>
  <c r="V7" i="2"/>
  <c r="V10" i="2" s="1"/>
  <c r="V13" i="2" s="1"/>
  <c r="V16" i="2" s="1"/>
  <c r="V19" i="2" s="1"/>
  <c r="V23" i="2" s="1"/>
  <c r="V27" i="2" s="1"/>
  <c r="V31" i="2" s="1"/>
  <c r="V35" i="2" s="1"/>
  <c r="V38" i="2" s="1"/>
  <c r="V41" i="2" s="1"/>
  <c r="X35" i="2"/>
  <c r="W13" i="2"/>
  <c r="W27" i="2"/>
  <c r="W7" i="2"/>
  <c r="W19" i="2"/>
  <c r="AE25" i="2" l="1"/>
  <c r="AB27" i="2"/>
  <c r="AC27" i="2" s="1"/>
  <c r="Z19" i="2"/>
</calcChain>
</file>

<file path=xl/sharedStrings.xml><?xml version="1.0" encoding="utf-8"?>
<sst xmlns="http://schemas.openxmlformats.org/spreadsheetml/2006/main" count="82" uniqueCount="51">
  <si>
    <t># Sick Leave</t>
  </si>
  <si>
    <t># Hours Late</t>
  </si>
  <si>
    <t># Unpaid Leaves</t>
  </si>
  <si>
    <t>$ Incentive</t>
  </si>
  <si>
    <t>$ Overtime</t>
  </si>
  <si>
    <t># Headcount</t>
  </si>
  <si>
    <t># Leavers</t>
  </si>
  <si>
    <t># Joiners</t>
  </si>
  <si>
    <t># Employees Aged &gt;50</t>
  </si>
  <si>
    <t>% Of Females</t>
  </si>
  <si>
    <t>% Saudization</t>
  </si>
  <si>
    <t># Contract Termination</t>
  </si>
  <si>
    <t># Probation Period Termination</t>
  </si>
  <si>
    <t>% Employees Tenure</t>
  </si>
  <si>
    <t># Leavers With Service Less Than 3 Years</t>
  </si>
  <si>
    <t>% Turnover</t>
  </si>
  <si>
    <t># Retried Employees</t>
  </si>
  <si>
    <t>Avg Age</t>
  </si>
  <si>
    <t>% Hr Expenses Vs Budget</t>
  </si>
  <si>
    <t># Training Hours</t>
  </si>
  <si>
    <t>% High Performers</t>
  </si>
  <si>
    <t>% Low Performers</t>
  </si>
  <si>
    <t># Trained Employees</t>
  </si>
  <si>
    <t>% Training Effectiveness Index</t>
  </si>
  <si>
    <t>% Training Plan Achieved'</t>
  </si>
  <si>
    <t>% Manpower Plan Achieved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</si>
  <si>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</si>
  <si>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</si>
  <si>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</si>
  <si>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</si>
  <si>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</si>
  <si>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</si>
  <si>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</si>
  <si>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</si>
  <si>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</si>
  <si>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</si>
  <si>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</si>
  <si>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</si>
  <si>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Saudis</t>
  </si>
  <si>
    <t>Non-Sauids</t>
  </si>
  <si>
    <t>Month</t>
  </si>
  <si>
    <t>% Outsource</t>
  </si>
  <si>
    <t># Part Timers</t>
  </si>
  <si>
    <t># Corrective Actions</t>
  </si>
  <si>
    <t># HR Headcount</t>
  </si>
  <si>
    <t>% Automated Processes</t>
  </si>
  <si>
    <t>Non-Saudis</t>
  </si>
  <si>
    <t>$ Payroll</t>
  </si>
  <si>
    <t>High Performers</t>
  </si>
  <si>
    <t>Low Performers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</si>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</sst>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badi Extra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3" borderId="0" xfId="0" applyFont="1" applyFill="1"/>
    <xf numFmtId="0" fontId="4" fillId="3" borderId="1" xfId="0" applyFont="1" applyFill="1" applyBorder="1"/>
    <xf numFmtId="0" fontId="4" fillId="3" borderId="2" xfId="0" applyFont="1" applyFill="1" applyBorder="1"/>
    <xf numFmtId="3" fontId="3" fillId="0" borderId="0" xfId="0" applyNumberFormat="1" applyFont="1" applyAlignment="1">
      <alignment horizontal="center" vertical="center" wrapText="1"/>
    </xf>
    <xf numFmtId="9" fontId="3" fillId="0" borderId="0" xfId="3" applyFont="1" applyAlignment="1">
      <alignment horizontal="center" vertical="center" wrapText="1"/>
    </xf>
    <xf numFmtId="9" fontId="0" fillId="0" borderId="0" xfId="3" applyFont="1" applyFill="1"/>
    <xf numFmtId="10" fontId="0" fillId="0" borderId="0" xfId="3" applyNumberFormat="1" applyFont="1" applyFill="1"/>
    <xf numFmtId="164" fontId="0" fillId="0" borderId="0" xfId="1" applyNumberFormat="1" applyFont="1" applyFill="1"/>
    <xf numFmtId="164" fontId="3" fillId="0" borderId="0" xfId="1" applyNumberFormat="1" applyFont="1" applyAlignment="1">
      <alignment horizontal="center" vertical="center" wrapText="1"/>
    </xf>
    <xf numFmtId="44" fontId="0" fillId="0" borderId="0" xfId="2" applyFont="1" applyFill="1"/>
    <xf numFmtId="164" fontId="0" fillId="0" borderId="0" xfId="0" applyNumberFormat="1"/>
    <xf numFmtId="10" fontId="3" fillId="0" borderId="0" xfId="3" applyNumberFormat="1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9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" formatCode="#,##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8080"/>
      <color rgb="FF006666"/>
      <color rgb="FFB8EAC9"/>
      <color rgb="FFFFBDBD"/>
      <color rgb="FFCC0066"/>
      <color rgb="FF66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>
                <a:latin typeface="Agency FB" panose="020B0503020202020204" pitchFamily="34" charset="0"/>
              </a:rPr>
              <a:t>Saudis Vs Non-Saudis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730893932376092E-2"/>
          <c:y val="0.14693611530881873"/>
          <c:w val="0.86512901420410671"/>
          <c:h val="0.79230670661116842"/>
        </c:manualLayout>
      </c:layout>
      <c:pieChart>
        <c:varyColors val="1"/>
        <c:ser>
          <c:idx val="0"/>
          <c:order val="0"/>
          <c:tx>
            <c:strRef>
              <c:f>Sheet2!$V$3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D7-42BB-ADF5-F9A1F7DC7CE9}"/>
              </c:ext>
            </c:extLst>
          </c:dPt>
          <c:dPt>
            <c:idx val="1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8D7-42BB-ADF5-F9A1F7DC7C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Sheet2!$W$2:$X$2</c:f>
              <c:strCache>
                <c:ptCount val="2"/>
                <c:pt idx="0">
                  <c:v>Saudis</c:v>
                </c:pt>
                <c:pt idx="1">
                  <c:v>Non-Saudis</c:v>
                </c:pt>
              </c:strCache>
            </c:strRef>
          </c:cat>
          <c:val>
            <c:numRef>
              <c:f>Sheet2!$W$3:$X$3</c:f>
              <c:numCache>
                <c:formatCode>General</c:formatCode>
                <c:ptCount val="2"/>
                <c:pt idx="0">
                  <c:v>1000</c:v>
                </c:pt>
                <c:pt idx="1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7-42BB-ADF5-F9A1F7DC7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5686495070468"/>
          <c:y val="0"/>
          <c:w val="0.77748627009859061"/>
          <c:h val="1"/>
        </c:manualLayout>
      </c:layout>
      <c:doughnutChart>
        <c:varyColors val="1"/>
        <c:ser>
          <c:idx val="1"/>
          <c:order val="0"/>
          <c:spPr>
            <a:solidFill>
              <a:schemeClr val="tx2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F5-44AB-8F54-BFF1D54961B5}"/>
              </c:ext>
            </c:extLst>
          </c:dPt>
          <c:dPt>
            <c:idx val="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F5-44AB-8F54-BFF1D54961B5}"/>
              </c:ext>
            </c:extLst>
          </c:dPt>
          <c:dPt>
            <c:idx val="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F5-44AB-8F54-BFF1D54961B5}"/>
              </c:ext>
            </c:extLst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F5-44AB-8F54-BFF1D54961B5}"/>
              </c:ext>
            </c:extLst>
          </c:dPt>
          <c:dPt>
            <c:idx val="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F5-44AB-8F54-BFF1D54961B5}"/>
              </c:ext>
            </c:extLst>
          </c:dPt>
          <c:dPt>
            <c:idx val="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F5-44AB-8F54-BFF1D54961B5}"/>
              </c:ext>
            </c:extLst>
          </c:dPt>
          <c:dPt>
            <c:idx val="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CF5-44AB-8F54-BFF1D54961B5}"/>
              </c:ext>
            </c:extLst>
          </c:dPt>
          <c:dPt>
            <c:idx val="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CF5-44AB-8F54-BFF1D54961B5}"/>
              </c:ext>
            </c:extLst>
          </c:dPt>
          <c:dPt>
            <c:idx val="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CF5-44AB-8F54-BFF1D54961B5}"/>
              </c:ext>
            </c:extLst>
          </c:dPt>
          <c:dPt>
            <c:idx val="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CF5-44AB-8F54-BFF1D54961B5}"/>
              </c:ext>
            </c:extLst>
          </c:dPt>
          <c:dPt>
            <c:idx val="1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CF5-44AB-8F54-BFF1D54961B5}"/>
              </c:ext>
            </c:extLst>
          </c:dPt>
          <c:dPt>
            <c:idx val="1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CF5-44AB-8F54-BFF1D54961B5}"/>
              </c:ext>
            </c:extLst>
          </c:dPt>
          <c:dPt>
            <c:idx val="1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CF5-44AB-8F54-BFF1D54961B5}"/>
              </c:ext>
            </c:extLst>
          </c:dPt>
          <c:dPt>
            <c:idx val="1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CF5-44AB-8F54-BFF1D54961B5}"/>
              </c:ext>
            </c:extLst>
          </c:dPt>
          <c:dPt>
            <c:idx val="1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CF5-44AB-8F54-BFF1D54961B5}"/>
              </c:ext>
            </c:extLst>
          </c:dPt>
          <c:dPt>
            <c:idx val="1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CF5-44AB-8F54-BFF1D54961B5}"/>
              </c:ext>
            </c:extLst>
          </c:dPt>
          <c:dPt>
            <c:idx val="1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CF5-44AB-8F54-BFF1D54961B5}"/>
              </c:ext>
            </c:extLst>
          </c:dPt>
          <c:dPt>
            <c:idx val="1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CF5-44AB-8F54-BFF1D54961B5}"/>
              </c:ext>
            </c:extLst>
          </c:dPt>
          <c:dPt>
            <c:idx val="1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CF5-44AB-8F54-BFF1D54961B5}"/>
              </c:ext>
            </c:extLst>
          </c:dPt>
          <c:dPt>
            <c:idx val="1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CF5-44AB-8F54-BFF1D54961B5}"/>
              </c:ext>
            </c:extLst>
          </c:dPt>
          <c:val>
            <c:numRef>
              <c:f>Sheet2!$AB$39:$AB$58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CF5-44AB-8F54-BFF1D5496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0"/>
          <c:order val="1"/>
          <c:dPt>
            <c:idx val="0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BCF5-44AB-8F54-BFF1D54961B5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BCF5-44AB-8F54-BFF1D54961B5}"/>
              </c:ext>
            </c:extLst>
          </c:dPt>
          <c:val>
            <c:numRef>
              <c:f>Sheet2!$X$47:$Y$47</c:f>
              <c:numCache>
                <c:formatCode>0%</c:formatCode>
                <c:ptCount val="2"/>
                <c:pt idx="0">
                  <c:v>0.22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CF5-44AB-8F54-BFF1D5496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CE-4AF8-A9DC-0EAA1D19B01A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CE-4AF8-A9DC-0EAA1D19B0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Sheet2!$W$34:$X$34</c:f>
              <c:strCache>
                <c:ptCount val="2"/>
                <c:pt idx="0">
                  <c:v># Leavers</c:v>
                </c:pt>
                <c:pt idx="1">
                  <c:v># Joiners</c:v>
                </c:pt>
              </c:strCache>
            </c:strRef>
          </c:cat>
          <c:val>
            <c:numRef>
              <c:f>Sheet2!$W$35:$X$35</c:f>
              <c:numCache>
                <c:formatCode>General</c:formatCode>
                <c:ptCount val="2"/>
                <c:pt idx="0">
                  <c:v>22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E-4AF8-A9DC-0EAA1D19B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86008"/>
        <c:axId val="406274160"/>
      </c:barChart>
      <c:catAx>
        <c:axId val="49508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406274160"/>
        <c:crosses val="autoZero"/>
        <c:auto val="1"/>
        <c:lblAlgn val="ctr"/>
        <c:lblOffset val="100"/>
        <c:noMultiLvlLbl val="0"/>
      </c:catAx>
      <c:valAx>
        <c:axId val="406274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508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93-4BB2-83FA-5FED08289206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93-4BB2-83FA-5FED082892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Sheet2!$W$37:$X$37</c:f>
              <c:strCache>
                <c:ptCount val="2"/>
                <c:pt idx="0">
                  <c:v>High Performers</c:v>
                </c:pt>
                <c:pt idx="1">
                  <c:v>Low Performers</c:v>
                </c:pt>
              </c:strCache>
            </c:strRef>
          </c:cat>
          <c:val>
            <c:numRef>
              <c:f>Sheet2!$W$38:$X$38</c:f>
              <c:numCache>
                <c:formatCode>0%</c:formatCode>
                <c:ptCount val="2"/>
                <c:pt idx="0">
                  <c:v>0.22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3-4BB2-83FA-5FED0828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133944"/>
        <c:axId val="896132664"/>
      </c:barChart>
      <c:catAx>
        <c:axId val="89613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896132664"/>
        <c:crosses val="autoZero"/>
        <c:auto val="1"/>
        <c:lblAlgn val="ctr"/>
        <c:lblOffset val="100"/>
        <c:noMultiLvlLbl val="0"/>
      </c:catAx>
      <c:valAx>
        <c:axId val="89613266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9613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r>
              <a:rPr lang="en-US">
                <a:latin typeface="Agency FB" panose="020B0503020202020204" pitchFamily="34" charset="0"/>
              </a:rPr>
              <a:t>HR BudgetConsumption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683830171635052E-2"/>
          <c:y val="0.24459459459459459"/>
          <c:w val="0.90063233965672995"/>
          <c:h val="0.69909909909909906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2">
                  <a:lumMod val="90000"/>
                </a:schemeClr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6666"/>
              </a:solid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09A-4380-9D21-F2E170F65C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bg1"/>
                    </a:solidFill>
                    <a:latin typeface="Agency FB" panose="020B0503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Sheet2!$Y$27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A-4380-9D21-F2E170F65C8F}"/>
            </c:ext>
          </c:extLst>
        </c:ser>
        <c:ser>
          <c:idx val="1"/>
          <c:order val="1"/>
          <c:spPr>
            <a:pattFill prst="pct5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90000"/>
                </a:schemeClr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9A-4380-9D21-F2E170F65C8F}"/>
              </c:ext>
            </c:extLst>
          </c:dPt>
          <c:val>
            <c:numRef>
              <c:f>Sheet2!$Z$27</c:f>
              <c:numCache>
                <c:formatCode>0%</c:formatCode>
                <c:ptCount val="1"/>
                <c:pt idx="0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A-4380-9D21-F2E170F65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756995000"/>
        <c:axId val="756999800"/>
      </c:barChart>
      <c:catAx>
        <c:axId val="756995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6999800"/>
        <c:crosses val="autoZero"/>
        <c:auto val="1"/>
        <c:lblAlgn val="ctr"/>
        <c:lblOffset val="100"/>
        <c:noMultiLvlLbl val="0"/>
      </c:catAx>
      <c:valAx>
        <c:axId val="756999800"/>
        <c:scaling>
          <c:orientation val="minMax"/>
          <c:max val="1"/>
          <c:min val="0"/>
        </c:scaling>
        <c:delete val="1"/>
        <c:axPos val="b"/>
        <c:numFmt formatCode="0%" sourceLinked="1"/>
        <c:majorTickMark val="none"/>
        <c:minorTickMark val="none"/>
        <c:tickLblPos val="nextTo"/>
        <c:crossAx val="75699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737967914438502E-2"/>
          <c:y val="4.5702631765623884E-2"/>
          <c:w val="0.91973205889370779"/>
          <c:h val="0.929675108179045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29-4088-BD04-C808D5E4A9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29-4088-BD04-C808D5E4A9E9}"/>
              </c:ext>
            </c:extLst>
          </c:dPt>
          <c:val>
            <c:numRef>
              <c:f>Sheet2!$AA$26:$AB$26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B-4DF8-8DCA-FD8982BDF60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rgbClr val="0066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A1B-4DF8-8DCA-FD8982BDF60E}"/>
              </c:ext>
            </c:extLst>
          </c:dPt>
          <c:dPt>
            <c:idx val="1"/>
            <c:bubble3D val="0"/>
            <c:spPr>
              <a:pattFill prst="pct25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DF8-8DCA-FD8982BDF60E}"/>
              </c:ext>
            </c:extLst>
          </c:dPt>
          <c:dLbls>
            <c:dLbl>
              <c:idx val="0"/>
              <c:layout>
                <c:manualLayout>
                  <c:x val="-0.10124610591900311"/>
                  <c:y val="0.3693693693693693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rgbClr val="006666"/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3088036892584689"/>
                      <c:h val="0.290946300631340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A1B-4DF8-8DCA-FD8982BDF6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666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Sheet2!$AA$27:$AB$27</c:f>
              <c:numCache>
                <c:formatCode>_(* #,##0_);_(* \(#,##0\);_(* "-"??_);_(@_)</c:formatCode>
                <c:ptCount val="2"/>
                <c:pt idx="0" formatCode="General">
                  <c:v>320</c:v>
                </c:pt>
                <c:pt idx="1">
                  <c:v>3380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B-4DF8-8DCA-FD8982BDF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735042735042736E-2"/>
          <c:y val="0.26832164596446723"/>
          <c:w val="0.8820065105498176"/>
          <c:h val="0.67612306440418357"/>
        </c:manualLayout>
      </c:layout>
      <c:barChart>
        <c:barDir val="col"/>
        <c:grouping val="stacked"/>
        <c:varyColors val="0"/>
        <c:ser>
          <c:idx val="1"/>
          <c:order val="0"/>
          <c:spPr>
            <a:pattFill prst="pct25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Sheet2!$AE$25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5-4265-B719-945C229B136D}"/>
            </c:ext>
          </c:extLst>
        </c:ser>
        <c:ser>
          <c:idx val="2"/>
          <c:order val="1"/>
          <c:spPr>
            <a:solidFill>
              <a:srgbClr val="006666"/>
            </a:solidFill>
            <a:ln>
              <a:noFill/>
            </a:ln>
            <a:effectLst/>
          </c:spPr>
          <c:invertIfNegative val="0"/>
          <c:val>
            <c:numRef>
              <c:f>Sheet2!$AE$26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5-4265-B719-945C229B136D}"/>
            </c:ext>
          </c:extLst>
        </c:ser>
        <c:ser>
          <c:idx val="3"/>
          <c:order val="2"/>
          <c:spPr>
            <a:pattFill prst="pct25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Sheet2!$AE$27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95-4265-B719-945C229B1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100"/>
        <c:axId val="588364112"/>
        <c:axId val="588362832"/>
      </c:barChart>
      <c:catAx>
        <c:axId val="588364112"/>
        <c:scaling>
          <c:orientation val="minMax"/>
        </c:scaling>
        <c:delete val="1"/>
        <c:axPos val="b"/>
        <c:majorTickMark val="none"/>
        <c:minorTickMark val="none"/>
        <c:tickLblPos val="nextTo"/>
        <c:crossAx val="588362832"/>
        <c:crosses val="autoZero"/>
        <c:auto val="1"/>
        <c:lblAlgn val="ctr"/>
        <c:lblOffset val="100"/>
        <c:noMultiLvlLbl val="0"/>
      </c:catAx>
      <c:valAx>
        <c:axId val="588362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8836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5686495070468"/>
          <c:y val="0"/>
          <c:w val="0.77748627009859061"/>
          <c:h val="1"/>
        </c:manualLayout>
      </c:layout>
      <c:doughnutChart>
        <c:varyColors val="1"/>
        <c:ser>
          <c:idx val="1"/>
          <c:order val="0"/>
          <c:spPr>
            <a:solidFill>
              <a:schemeClr val="tx2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25-4B0F-8A48-D43EC468184D}"/>
              </c:ext>
            </c:extLst>
          </c:dPt>
          <c:dPt>
            <c:idx val="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25-4B0F-8A48-D43EC468184D}"/>
              </c:ext>
            </c:extLst>
          </c:dPt>
          <c:dPt>
            <c:idx val="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25-4B0F-8A48-D43EC468184D}"/>
              </c:ext>
            </c:extLst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25-4B0F-8A48-D43EC468184D}"/>
              </c:ext>
            </c:extLst>
          </c:dPt>
          <c:dPt>
            <c:idx val="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25-4B0F-8A48-D43EC468184D}"/>
              </c:ext>
            </c:extLst>
          </c:dPt>
          <c:dPt>
            <c:idx val="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25-4B0F-8A48-D43EC468184D}"/>
              </c:ext>
            </c:extLst>
          </c:dPt>
          <c:dPt>
            <c:idx val="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25-4B0F-8A48-D43EC468184D}"/>
              </c:ext>
            </c:extLst>
          </c:dPt>
          <c:dPt>
            <c:idx val="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25-4B0F-8A48-D43EC468184D}"/>
              </c:ext>
            </c:extLst>
          </c:dPt>
          <c:dPt>
            <c:idx val="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25-4B0F-8A48-D43EC468184D}"/>
              </c:ext>
            </c:extLst>
          </c:dPt>
          <c:dPt>
            <c:idx val="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25-4B0F-8A48-D43EC468184D}"/>
              </c:ext>
            </c:extLst>
          </c:dPt>
          <c:dPt>
            <c:idx val="1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25-4B0F-8A48-D43EC468184D}"/>
              </c:ext>
            </c:extLst>
          </c:dPt>
          <c:dPt>
            <c:idx val="1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25-4B0F-8A48-D43EC468184D}"/>
              </c:ext>
            </c:extLst>
          </c:dPt>
          <c:dPt>
            <c:idx val="1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25-4B0F-8A48-D43EC468184D}"/>
              </c:ext>
            </c:extLst>
          </c:dPt>
          <c:dPt>
            <c:idx val="1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25-4B0F-8A48-D43EC468184D}"/>
              </c:ext>
            </c:extLst>
          </c:dPt>
          <c:dPt>
            <c:idx val="1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25-4B0F-8A48-D43EC468184D}"/>
              </c:ext>
            </c:extLst>
          </c:dPt>
          <c:dPt>
            <c:idx val="1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25-4B0F-8A48-D43EC468184D}"/>
              </c:ext>
            </c:extLst>
          </c:dPt>
          <c:dPt>
            <c:idx val="1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25-4B0F-8A48-D43EC468184D}"/>
              </c:ext>
            </c:extLst>
          </c:dPt>
          <c:dPt>
            <c:idx val="1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25-4B0F-8A48-D43EC468184D}"/>
              </c:ext>
            </c:extLst>
          </c:dPt>
          <c:dPt>
            <c:idx val="1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25-4B0F-8A48-D43EC468184D}"/>
              </c:ext>
            </c:extLst>
          </c:dPt>
          <c:dPt>
            <c:idx val="1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25-4B0F-8A48-D43EC468184D}"/>
              </c:ext>
            </c:extLst>
          </c:dPt>
          <c:val>
            <c:numRef>
              <c:f>Sheet2!$AB$39:$AB$58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1-4AD5-8B0A-08616A9E7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0"/>
          <c:order val="1"/>
          <c:dPt>
            <c:idx val="0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31-4AD5-8B0A-08616A9E780E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831-4AD5-8B0A-08616A9E780E}"/>
              </c:ext>
            </c:extLst>
          </c:dPt>
          <c:val>
            <c:numRef>
              <c:f>Sheet2!$X$44:$Y$44</c:f>
              <c:numCache>
                <c:formatCode>0%</c:formatCode>
                <c:ptCount val="2"/>
                <c:pt idx="0">
                  <c:v>0.1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31-4AD5-8B0A-08616A9E7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5686495070468"/>
          <c:y val="0"/>
          <c:w val="0.77748627009859061"/>
          <c:h val="1"/>
        </c:manualLayout>
      </c:layout>
      <c:doughnutChart>
        <c:varyColors val="1"/>
        <c:ser>
          <c:idx val="1"/>
          <c:order val="0"/>
          <c:spPr>
            <a:solidFill>
              <a:schemeClr val="tx2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24-4277-9E97-0B2DBB464762}"/>
              </c:ext>
            </c:extLst>
          </c:dPt>
          <c:dPt>
            <c:idx val="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24-4277-9E97-0B2DBB464762}"/>
              </c:ext>
            </c:extLst>
          </c:dPt>
          <c:dPt>
            <c:idx val="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24-4277-9E97-0B2DBB464762}"/>
              </c:ext>
            </c:extLst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24-4277-9E97-0B2DBB464762}"/>
              </c:ext>
            </c:extLst>
          </c:dPt>
          <c:dPt>
            <c:idx val="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24-4277-9E97-0B2DBB464762}"/>
              </c:ext>
            </c:extLst>
          </c:dPt>
          <c:dPt>
            <c:idx val="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924-4277-9E97-0B2DBB464762}"/>
              </c:ext>
            </c:extLst>
          </c:dPt>
          <c:dPt>
            <c:idx val="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924-4277-9E97-0B2DBB464762}"/>
              </c:ext>
            </c:extLst>
          </c:dPt>
          <c:dPt>
            <c:idx val="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924-4277-9E97-0B2DBB464762}"/>
              </c:ext>
            </c:extLst>
          </c:dPt>
          <c:dPt>
            <c:idx val="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924-4277-9E97-0B2DBB464762}"/>
              </c:ext>
            </c:extLst>
          </c:dPt>
          <c:dPt>
            <c:idx val="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924-4277-9E97-0B2DBB464762}"/>
              </c:ext>
            </c:extLst>
          </c:dPt>
          <c:dPt>
            <c:idx val="1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924-4277-9E97-0B2DBB464762}"/>
              </c:ext>
            </c:extLst>
          </c:dPt>
          <c:dPt>
            <c:idx val="1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924-4277-9E97-0B2DBB464762}"/>
              </c:ext>
            </c:extLst>
          </c:dPt>
          <c:dPt>
            <c:idx val="1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924-4277-9E97-0B2DBB464762}"/>
              </c:ext>
            </c:extLst>
          </c:dPt>
          <c:dPt>
            <c:idx val="1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924-4277-9E97-0B2DBB464762}"/>
              </c:ext>
            </c:extLst>
          </c:dPt>
          <c:dPt>
            <c:idx val="1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924-4277-9E97-0B2DBB464762}"/>
              </c:ext>
            </c:extLst>
          </c:dPt>
          <c:dPt>
            <c:idx val="1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924-4277-9E97-0B2DBB464762}"/>
              </c:ext>
            </c:extLst>
          </c:dPt>
          <c:dPt>
            <c:idx val="1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924-4277-9E97-0B2DBB464762}"/>
              </c:ext>
            </c:extLst>
          </c:dPt>
          <c:dPt>
            <c:idx val="1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924-4277-9E97-0B2DBB464762}"/>
              </c:ext>
            </c:extLst>
          </c:dPt>
          <c:dPt>
            <c:idx val="1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924-4277-9E97-0B2DBB464762}"/>
              </c:ext>
            </c:extLst>
          </c:dPt>
          <c:dPt>
            <c:idx val="1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924-4277-9E97-0B2DBB464762}"/>
              </c:ext>
            </c:extLst>
          </c:dPt>
          <c:val>
            <c:numRef>
              <c:f>Sheet2!$AB$39:$AB$58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924-4277-9E97-0B2DBB46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0"/>
          <c:order val="1"/>
          <c:dPt>
            <c:idx val="0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0924-4277-9E97-0B2DBB464762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0924-4277-9E97-0B2DBB464762}"/>
              </c:ext>
            </c:extLst>
          </c:dPt>
          <c:val>
            <c:numRef>
              <c:f>Sheet2!$X$45:$Y$45</c:f>
              <c:numCache>
                <c:formatCode>0%</c:formatCode>
                <c:ptCount val="2"/>
                <c:pt idx="0">
                  <c:v>0.22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924-4277-9E97-0B2DBB46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5686495070468"/>
          <c:y val="0"/>
          <c:w val="0.77748627009859061"/>
          <c:h val="1"/>
        </c:manualLayout>
      </c:layout>
      <c:doughnutChart>
        <c:varyColors val="1"/>
        <c:ser>
          <c:idx val="1"/>
          <c:order val="0"/>
          <c:spPr>
            <a:solidFill>
              <a:schemeClr val="tx2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49-4E8F-B104-5D50CBC43BDB}"/>
              </c:ext>
            </c:extLst>
          </c:dPt>
          <c:dPt>
            <c:idx val="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49-4E8F-B104-5D50CBC43BDB}"/>
              </c:ext>
            </c:extLst>
          </c:dPt>
          <c:dPt>
            <c:idx val="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49-4E8F-B104-5D50CBC43BDB}"/>
              </c:ext>
            </c:extLst>
          </c:dPt>
          <c:dPt>
            <c:idx val="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49-4E8F-B104-5D50CBC43BDB}"/>
              </c:ext>
            </c:extLst>
          </c:dPt>
          <c:dPt>
            <c:idx val="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49-4E8F-B104-5D50CBC43BDB}"/>
              </c:ext>
            </c:extLst>
          </c:dPt>
          <c:dPt>
            <c:idx val="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49-4E8F-B104-5D50CBC43BDB}"/>
              </c:ext>
            </c:extLst>
          </c:dPt>
          <c:dPt>
            <c:idx val="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49-4E8F-B104-5D50CBC43BDB}"/>
              </c:ext>
            </c:extLst>
          </c:dPt>
          <c:dPt>
            <c:idx val="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749-4E8F-B104-5D50CBC43BDB}"/>
              </c:ext>
            </c:extLst>
          </c:dPt>
          <c:dPt>
            <c:idx val="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749-4E8F-B104-5D50CBC43BDB}"/>
              </c:ext>
            </c:extLst>
          </c:dPt>
          <c:dPt>
            <c:idx val="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749-4E8F-B104-5D50CBC43BDB}"/>
              </c:ext>
            </c:extLst>
          </c:dPt>
          <c:dPt>
            <c:idx val="1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749-4E8F-B104-5D50CBC43BDB}"/>
              </c:ext>
            </c:extLst>
          </c:dPt>
          <c:dPt>
            <c:idx val="11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749-4E8F-B104-5D50CBC43BDB}"/>
              </c:ext>
            </c:extLst>
          </c:dPt>
          <c:dPt>
            <c:idx val="12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749-4E8F-B104-5D50CBC43BDB}"/>
              </c:ext>
            </c:extLst>
          </c:dPt>
          <c:dPt>
            <c:idx val="13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749-4E8F-B104-5D50CBC43BDB}"/>
              </c:ext>
            </c:extLst>
          </c:dPt>
          <c:dPt>
            <c:idx val="1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749-4E8F-B104-5D50CBC43BDB}"/>
              </c:ext>
            </c:extLst>
          </c:dPt>
          <c:dPt>
            <c:idx val="15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A749-4E8F-B104-5D50CBC43BDB}"/>
              </c:ext>
            </c:extLst>
          </c:dPt>
          <c:dPt>
            <c:idx val="16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A749-4E8F-B104-5D50CBC43BDB}"/>
              </c:ext>
            </c:extLst>
          </c:dPt>
          <c:dPt>
            <c:idx val="17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749-4E8F-B104-5D50CBC43BDB}"/>
              </c:ext>
            </c:extLst>
          </c:dPt>
          <c:dPt>
            <c:idx val="18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749-4E8F-B104-5D50CBC43BDB}"/>
              </c:ext>
            </c:extLst>
          </c:dPt>
          <c:dPt>
            <c:idx val="19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749-4E8F-B104-5D50CBC43BDB}"/>
              </c:ext>
            </c:extLst>
          </c:dPt>
          <c:val>
            <c:numRef>
              <c:f>Sheet2!$AB$39:$AB$58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749-4E8F-B104-5D50CBC4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doughnutChart>
        <c:varyColors val="1"/>
        <c:ser>
          <c:idx val="0"/>
          <c:order val="1"/>
          <c:dPt>
            <c:idx val="0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A749-4E8F-B104-5D50CBC43BDB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A749-4E8F-B104-5D50CBC43BDB}"/>
              </c:ext>
            </c:extLst>
          </c:dPt>
          <c:val>
            <c:numRef>
              <c:f>Sheet2!$X$46:$Y$46</c:f>
              <c:numCache>
                <c:formatCode>0%</c:formatCode>
                <c:ptCount val="2"/>
                <c:pt idx="0">
                  <c:v>0.7</c:v>
                </c:pt>
                <c:pt idx="1">
                  <c:v>0.30000000000000004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749-4E8F-B104-5D50CBC43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9.jpeg"/><Relationship Id="rId18" Type="http://schemas.openxmlformats.org/officeDocument/2006/relationships/chart" Target="../charts/chart8.xml"/><Relationship Id="rId3" Type="http://schemas.microsoft.com/office/2007/relationships/hdphoto" Target="../media/hdphoto1.wdp"/><Relationship Id="rId7" Type="http://schemas.openxmlformats.org/officeDocument/2006/relationships/image" Target="../media/image5.png"/><Relationship Id="rId12" Type="http://schemas.openxmlformats.org/officeDocument/2006/relationships/image" Target="../media/image8.png"/><Relationship Id="rId17" Type="http://schemas.openxmlformats.org/officeDocument/2006/relationships/chart" Target="../charts/chart7.xml"/><Relationship Id="rId2" Type="http://schemas.openxmlformats.org/officeDocument/2006/relationships/image" Target="../media/image1.png"/><Relationship Id="rId16" Type="http://schemas.openxmlformats.org/officeDocument/2006/relationships/chart" Target="../charts/chart6.xml"/><Relationship Id="rId20" Type="http://schemas.openxmlformats.org/officeDocument/2006/relationships/chart" Target="../charts/chart10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chart" Target="../charts/chart3.xml"/><Relationship Id="rId5" Type="http://schemas.openxmlformats.org/officeDocument/2006/relationships/image" Target="../media/image3.png"/><Relationship Id="rId15" Type="http://schemas.openxmlformats.org/officeDocument/2006/relationships/chart" Target="../charts/chart5.xml"/><Relationship Id="rId10" Type="http://schemas.openxmlformats.org/officeDocument/2006/relationships/chart" Target="../charts/chart2.xml"/><Relationship Id="rId19" Type="http://schemas.openxmlformats.org/officeDocument/2006/relationships/chart" Target="../charts/chart9.xml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13</xdr:row>
      <xdr:rowOff>137160</xdr:rowOff>
    </xdr:from>
    <xdr:ext cx="1386840" cy="2939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CE02DB1F-699E-46D6-BE0F-C00AF2678D47}"/>
            </a:ext>
          </a:extLst>
        </xdr:cNvPr>
        <xdr:cNvSpPr txBox="1"/>
      </xdr:nvSpPr>
      <xdr:spPr>
        <a:xfrm>
          <a:off x="142494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Employees Aged &gt;50</a:t>
          </a:r>
        </a:p>
      </xdr:txBody>
    </xdr:sp>
    <xdr:clientData/>
  </xdr:oneCellAnchor>
  <xdr:oneCellAnchor>
    <xdr:from>
      <xdr:col>9</xdr:col>
      <xdr:colOff>147638</xdr:colOff>
      <xdr:row>9</xdr:row>
      <xdr:rowOff>89535</xdr:rowOff>
    </xdr:from>
    <xdr:ext cx="1648620" cy="2939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FDFC231-EBE9-4450-BA18-7C8573C42D6E}"/>
            </a:ext>
          </a:extLst>
        </xdr:cNvPr>
        <xdr:cNvSpPr txBox="1"/>
      </xdr:nvSpPr>
      <xdr:spPr>
        <a:xfrm>
          <a:off x="5192078" y="1735455"/>
          <a:ext cx="1648620" cy="29392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Payroll</a:t>
          </a:r>
        </a:p>
      </xdr:txBody>
    </xdr:sp>
    <xdr:clientData/>
  </xdr:oneCellAnchor>
  <xdr:oneCellAnchor>
    <xdr:from>
      <xdr:col>9</xdr:col>
      <xdr:colOff>132398</xdr:colOff>
      <xdr:row>5</xdr:row>
      <xdr:rowOff>51435</xdr:rowOff>
    </xdr:from>
    <xdr:ext cx="1639607" cy="2939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72B70C5-3771-40C3-B5F8-98FDDC820552}"/>
            </a:ext>
          </a:extLst>
        </xdr:cNvPr>
        <xdr:cNvSpPr txBox="1"/>
      </xdr:nvSpPr>
      <xdr:spPr>
        <a:xfrm>
          <a:off x="5176838" y="965835"/>
          <a:ext cx="1639607" cy="29392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Over Time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 Cost</a:t>
          </a:r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 </a:t>
          </a:r>
        </a:p>
      </xdr:txBody>
    </xdr:sp>
    <xdr:clientData/>
  </xdr:oneCellAnchor>
  <xdr:oneCellAnchor>
    <xdr:from>
      <xdr:col>9</xdr:col>
      <xdr:colOff>133350</xdr:colOff>
      <xdr:row>1</xdr:row>
      <xdr:rowOff>22860</xdr:rowOff>
    </xdr:from>
    <xdr:ext cx="1631945" cy="2939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7C47942A-FF7D-48CB-8BDF-361E1DB88907}"/>
            </a:ext>
          </a:extLst>
        </xdr:cNvPr>
        <xdr:cNvSpPr txBox="1"/>
      </xdr:nvSpPr>
      <xdr:spPr>
        <a:xfrm>
          <a:off x="5177790" y="205740"/>
          <a:ext cx="1631945" cy="29392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Inentive Cost</a:t>
          </a:r>
        </a:p>
      </xdr:txBody>
    </xdr:sp>
    <xdr:clientData/>
  </xdr:oneCellAnchor>
  <xdr:twoCellAnchor>
    <xdr:from>
      <xdr:col>3</xdr:col>
      <xdr:colOff>15240</xdr:colOff>
      <xdr:row>1</xdr:row>
      <xdr:rowOff>15240</xdr:rowOff>
    </xdr:from>
    <xdr:to>
      <xdr:col>6</xdr:col>
      <xdr:colOff>259080</xdr:colOff>
      <xdr:row>13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AD693-63D8-44EF-B821-B51A309C8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434340</xdr:colOff>
      <xdr:row>1</xdr:row>
      <xdr:rowOff>137160</xdr:rowOff>
    </xdr:from>
    <xdr:to>
      <xdr:col>7</xdr:col>
      <xdr:colOff>342290</xdr:colOff>
      <xdr:row>4</xdr:row>
      <xdr:rowOff>106070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4841035-B287-459F-9054-0DF2A507E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rgbClr val="006666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980" y="320040"/>
          <a:ext cx="517550" cy="517550"/>
        </a:xfrm>
        <a:prstGeom prst="rect">
          <a:avLst/>
        </a:prstGeom>
      </xdr:spPr>
    </xdr:pic>
    <xdr:clientData/>
  </xdr:twoCellAnchor>
  <xdr:oneCellAnchor>
    <xdr:from>
      <xdr:col>6</xdr:col>
      <xdr:colOff>297180</xdr:colOff>
      <xdr:row>4</xdr:row>
      <xdr:rowOff>167640</xdr:rowOff>
    </xdr:from>
    <xdr:ext cx="784860" cy="335348"/>
    <xdr:sp macro="" textlink="$W$7">
      <xdr:nvSpPr>
        <xdr:cNvPr id="5" name="TextBox 4">
          <a:extLst>
            <a:ext uri="{FF2B5EF4-FFF2-40B4-BE49-F238E27FC236}">
              <a16:creationId xmlns:a16="http://schemas.microsoft.com/office/drawing/2014/main" id="{B6E2A8A4-BEF1-4337-B5FA-66AED189E2B0}"/>
            </a:ext>
          </a:extLst>
        </xdr:cNvPr>
        <xdr:cNvSpPr txBox="1"/>
      </xdr:nvSpPr>
      <xdr:spPr>
        <a:xfrm>
          <a:off x="3337560" y="899160"/>
          <a:ext cx="784860" cy="3353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6CB4BC33-B3F3-498C-A413-67EA0A051895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cs typeface="Calibri"/>
            </a:rPr>
            <a:pPr algn="ctr"/>
            <a:t> 3,700 </a:t>
          </a:fld>
          <a:endParaRPr lang="en-US" sz="1600">
            <a:solidFill>
              <a:srgbClr val="006666"/>
            </a:solidFill>
            <a:latin typeface="Agency FB" panose="020B0503020202020204" pitchFamily="34" charset="0"/>
          </a:endParaRPr>
        </a:p>
      </xdr:txBody>
    </xdr:sp>
    <xdr:clientData/>
  </xdr:oneCellAnchor>
  <xdr:twoCellAnchor>
    <xdr:from>
      <xdr:col>6</xdr:col>
      <xdr:colOff>297180</xdr:colOff>
      <xdr:row>1</xdr:row>
      <xdr:rowOff>22860</xdr:rowOff>
    </xdr:from>
    <xdr:to>
      <xdr:col>7</xdr:col>
      <xdr:colOff>480060</xdr:colOff>
      <xdr:row>7</xdr:row>
      <xdr:rowOff>22860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1FD5D80-5DE3-4925-801F-4700288708C8}"/>
            </a:ext>
          </a:extLst>
        </xdr:cNvPr>
        <xdr:cNvSpPr/>
      </xdr:nvSpPr>
      <xdr:spPr>
        <a:xfrm>
          <a:off x="3512820" y="205740"/>
          <a:ext cx="792480" cy="1097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289560</xdr:colOff>
      <xdr:row>7</xdr:row>
      <xdr:rowOff>76200</xdr:rowOff>
    </xdr:from>
    <xdr:to>
      <xdr:col>7</xdr:col>
      <xdr:colOff>472440</xdr:colOff>
      <xdr:row>13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B35E272-4364-4FD7-8E5B-FD3571EAB940}"/>
            </a:ext>
          </a:extLst>
        </xdr:cNvPr>
        <xdr:cNvSpPr/>
      </xdr:nvSpPr>
      <xdr:spPr>
        <a:xfrm>
          <a:off x="3505200" y="1356360"/>
          <a:ext cx="792480" cy="1097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388619</xdr:colOff>
      <xdr:row>7</xdr:row>
      <xdr:rowOff>122937</xdr:rowOff>
    </xdr:from>
    <xdr:to>
      <xdr:col>7</xdr:col>
      <xdr:colOff>358140</xdr:colOff>
      <xdr:row>10</xdr:row>
      <xdr:rowOff>153418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B3CEFCD-0EC7-45BF-979A-4807C1854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4259" y="1403097"/>
          <a:ext cx="579121" cy="579121"/>
        </a:xfrm>
        <a:prstGeom prst="rect">
          <a:avLst/>
        </a:prstGeom>
      </xdr:spPr>
    </xdr:pic>
    <xdr:clientData/>
  </xdr:twoCellAnchor>
  <xdr:oneCellAnchor>
    <xdr:from>
      <xdr:col>6</xdr:col>
      <xdr:colOff>320040</xdr:colOff>
      <xdr:row>11</xdr:row>
      <xdr:rowOff>53340</xdr:rowOff>
    </xdr:from>
    <xdr:ext cx="762000" cy="335348"/>
    <xdr:sp macro="" textlink="$W$10">
      <xdr:nvSpPr>
        <xdr:cNvPr id="10" name="TextBox 9">
          <a:extLst>
            <a:ext uri="{FF2B5EF4-FFF2-40B4-BE49-F238E27FC236}">
              <a16:creationId xmlns:a16="http://schemas.microsoft.com/office/drawing/2014/main" id="{06633977-7E11-48E0-9CD7-0873703F3408}"/>
            </a:ext>
          </a:extLst>
        </xdr:cNvPr>
        <xdr:cNvSpPr txBox="1"/>
      </xdr:nvSpPr>
      <xdr:spPr>
        <a:xfrm>
          <a:off x="3360420" y="2065020"/>
          <a:ext cx="762000" cy="3353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72B66B8-A551-4838-A21B-E55747CEFA6F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cs typeface="Calibri"/>
            </a:rPr>
            <a:pPr algn="ctr"/>
            <a:t>27.03%</a:t>
          </a:fld>
          <a:endParaRPr lang="en-US" sz="2400">
            <a:solidFill>
              <a:srgbClr val="006666"/>
            </a:solidFill>
            <a:latin typeface="Agency FB" panose="020B0503020202020204" pitchFamily="34" charset="0"/>
          </a:endParaRPr>
        </a:p>
      </xdr:txBody>
    </xdr:sp>
    <xdr:clientData/>
  </xdr:oneCellAnchor>
  <xdr:oneCellAnchor>
    <xdr:from>
      <xdr:col>7</xdr:col>
      <xdr:colOff>495300</xdr:colOff>
      <xdr:row>0</xdr:row>
      <xdr:rowOff>175260</xdr:rowOff>
    </xdr:from>
    <xdr:ext cx="841834" cy="2939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0FDFBD5-FE4D-45E7-9EF3-3029FD1B0E39}"/>
            </a:ext>
          </a:extLst>
        </xdr:cNvPr>
        <xdr:cNvSpPr txBox="1"/>
      </xdr:nvSpPr>
      <xdr:spPr>
        <a:xfrm>
          <a:off x="4320540" y="175260"/>
          <a:ext cx="841834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Sick Leaves</a:t>
          </a:r>
        </a:p>
      </xdr:txBody>
    </xdr:sp>
    <xdr:clientData/>
  </xdr:oneCellAnchor>
  <xdr:twoCellAnchor>
    <xdr:from>
      <xdr:col>7</xdr:col>
      <xdr:colOff>533400</xdr:colOff>
      <xdr:row>1</xdr:row>
      <xdr:rowOff>22860</xdr:rowOff>
    </xdr:from>
    <xdr:to>
      <xdr:col>9</xdr:col>
      <xdr:colOff>106680</xdr:colOff>
      <xdr:row>7</xdr:row>
      <xdr:rowOff>22860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CB362FC-A1E7-439E-A28D-C91EB247351C}"/>
            </a:ext>
          </a:extLst>
        </xdr:cNvPr>
        <xdr:cNvSpPr/>
      </xdr:nvSpPr>
      <xdr:spPr>
        <a:xfrm>
          <a:off x="4358640" y="205740"/>
          <a:ext cx="792480" cy="1097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548640</xdr:colOff>
      <xdr:row>4</xdr:row>
      <xdr:rowOff>167640</xdr:rowOff>
    </xdr:from>
    <xdr:ext cx="777240" cy="335348"/>
    <xdr:sp macro="" textlink="$W$13">
      <xdr:nvSpPr>
        <xdr:cNvPr id="13" name="TextBox 12">
          <a:extLst>
            <a:ext uri="{FF2B5EF4-FFF2-40B4-BE49-F238E27FC236}">
              <a16:creationId xmlns:a16="http://schemas.microsoft.com/office/drawing/2014/main" id="{A289FB42-A2BD-434D-B6FD-F3E53C66FA90}"/>
            </a:ext>
          </a:extLst>
        </xdr:cNvPr>
        <xdr:cNvSpPr txBox="1"/>
      </xdr:nvSpPr>
      <xdr:spPr>
        <a:xfrm>
          <a:off x="4198620" y="899160"/>
          <a:ext cx="777240" cy="3353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DA5BCE00-FA73-4118-BCE4-FAB047234149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33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 editAs="oneCell">
    <xdr:from>
      <xdr:col>8</xdr:col>
      <xdr:colOff>67970</xdr:colOff>
      <xdr:row>2</xdr:row>
      <xdr:rowOff>68580</xdr:rowOff>
    </xdr:from>
    <xdr:to>
      <xdr:col>8</xdr:col>
      <xdr:colOff>525170</xdr:colOff>
      <xdr:row>4</xdr:row>
      <xdr:rowOff>160020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EF1B9E-2212-4570-B506-FE402AE4C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2810" y="434340"/>
          <a:ext cx="457200" cy="457200"/>
        </a:xfrm>
        <a:prstGeom prst="rect">
          <a:avLst/>
        </a:prstGeom>
      </xdr:spPr>
    </xdr:pic>
    <xdr:clientData/>
  </xdr:twoCellAnchor>
  <xdr:twoCellAnchor>
    <xdr:from>
      <xdr:col>7</xdr:col>
      <xdr:colOff>525780</xdr:colOff>
      <xdr:row>7</xdr:row>
      <xdr:rowOff>76200</xdr:rowOff>
    </xdr:from>
    <xdr:to>
      <xdr:col>9</xdr:col>
      <xdr:colOff>99060</xdr:colOff>
      <xdr:row>13</xdr:row>
      <xdr:rowOff>76200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7D34D4C-7962-46E5-A481-43C0F7781457}"/>
            </a:ext>
          </a:extLst>
        </xdr:cNvPr>
        <xdr:cNvSpPr/>
      </xdr:nvSpPr>
      <xdr:spPr>
        <a:xfrm>
          <a:off x="4353709" y="1331259"/>
          <a:ext cx="792480" cy="1075765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495300</xdr:colOff>
      <xdr:row>7</xdr:row>
      <xdr:rowOff>83820</xdr:rowOff>
    </xdr:from>
    <xdr:ext cx="799258" cy="2939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F01BDFF-B141-427A-8AC8-329656C96165}"/>
            </a:ext>
          </a:extLst>
        </xdr:cNvPr>
        <xdr:cNvSpPr txBox="1"/>
      </xdr:nvSpPr>
      <xdr:spPr>
        <a:xfrm>
          <a:off x="4320540" y="1363980"/>
          <a:ext cx="799258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Late Hours</a:t>
          </a:r>
        </a:p>
      </xdr:txBody>
    </xdr:sp>
    <xdr:clientData/>
  </xdr:oneCellAnchor>
  <xdr:twoCellAnchor editAs="oneCell">
    <xdr:from>
      <xdr:col>8</xdr:col>
      <xdr:colOff>106680</xdr:colOff>
      <xdr:row>9</xdr:row>
      <xdr:rowOff>15240</xdr:rowOff>
    </xdr:from>
    <xdr:to>
      <xdr:col>8</xdr:col>
      <xdr:colOff>471830</xdr:colOff>
      <xdr:row>11</xdr:row>
      <xdr:rowOff>14630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5C81286-AD79-4593-8400-B352FC76E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520" y="1661160"/>
          <a:ext cx="365150" cy="365150"/>
        </a:xfrm>
        <a:prstGeom prst="rect">
          <a:avLst/>
        </a:prstGeom>
      </xdr:spPr>
    </xdr:pic>
    <xdr:clientData/>
  </xdr:twoCellAnchor>
  <xdr:oneCellAnchor>
    <xdr:from>
      <xdr:col>7</xdr:col>
      <xdr:colOff>510540</xdr:colOff>
      <xdr:row>11</xdr:row>
      <xdr:rowOff>53340</xdr:rowOff>
    </xdr:from>
    <xdr:ext cx="777240" cy="335348"/>
    <xdr:sp macro="" textlink="$W$16">
      <xdr:nvSpPr>
        <xdr:cNvPr id="20" name="TextBox 19">
          <a:extLst>
            <a:ext uri="{FF2B5EF4-FFF2-40B4-BE49-F238E27FC236}">
              <a16:creationId xmlns:a16="http://schemas.microsoft.com/office/drawing/2014/main" id="{119B3C28-F483-4996-9369-D260638C32E4}"/>
            </a:ext>
          </a:extLst>
        </xdr:cNvPr>
        <xdr:cNvSpPr txBox="1"/>
      </xdr:nvSpPr>
      <xdr:spPr>
        <a:xfrm>
          <a:off x="4160520" y="2065020"/>
          <a:ext cx="777240" cy="3353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189468EE-D42A-492C-ACAF-2E42EEB60205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33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>
    <xdr:from>
      <xdr:col>9</xdr:col>
      <xdr:colOff>144780</xdr:colOff>
      <xdr:row>1</xdr:row>
      <xdr:rowOff>22860</xdr:rowOff>
    </xdr:from>
    <xdr:to>
      <xdr:col>11</xdr:col>
      <xdr:colOff>548640</xdr:colOff>
      <xdr:row>5</xdr:row>
      <xdr:rowOff>17929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2995D96-0499-4AC1-A4F7-BE7A2932029B}"/>
            </a:ext>
          </a:extLst>
        </xdr:cNvPr>
        <xdr:cNvSpPr/>
      </xdr:nvSpPr>
      <xdr:spPr>
        <a:xfrm>
          <a:off x="5189220" y="205740"/>
          <a:ext cx="1623060" cy="726589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135816</xdr:colOff>
      <xdr:row>9</xdr:row>
      <xdr:rowOff>94129</xdr:rowOff>
    </xdr:from>
    <xdr:to>
      <xdr:col>11</xdr:col>
      <xdr:colOff>556260</xdr:colOff>
      <xdr:row>13</xdr:row>
      <xdr:rowOff>76200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EDB8ADCE-40D9-446E-8215-DD92A04E8C2B}"/>
            </a:ext>
          </a:extLst>
        </xdr:cNvPr>
        <xdr:cNvSpPr/>
      </xdr:nvSpPr>
      <xdr:spPr>
        <a:xfrm>
          <a:off x="5180256" y="1740049"/>
          <a:ext cx="1639644" cy="713591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144780</xdr:colOff>
      <xdr:row>5</xdr:row>
      <xdr:rowOff>58001</xdr:rowOff>
    </xdr:from>
    <xdr:to>
      <xdr:col>11</xdr:col>
      <xdr:colOff>556260</xdr:colOff>
      <xdr:row>9</xdr:row>
      <xdr:rowOff>54057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5AE935C-122D-44C8-81D3-E07711FEADCE}"/>
            </a:ext>
          </a:extLst>
        </xdr:cNvPr>
        <xdr:cNvSpPr/>
      </xdr:nvSpPr>
      <xdr:spPr>
        <a:xfrm>
          <a:off x="5189220" y="972401"/>
          <a:ext cx="1630680" cy="727576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</xdr:col>
      <xdr:colOff>165007</xdr:colOff>
      <xdr:row>3</xdr:row>
      <xdr:rowOff>49475</xdr:rowOff>
    </xdr:from>
    <xdr:ext cx="2081212" cy="335348"/>
    <xdr:sp macro="" textlink="$W$23">
      <xdr:nvSpPr>
        <xdr:cNvPr id="28" name="TextBox 27">
          <a:extLst>
            <a:ext uri="{FF2B5EF4-FFF2-40B4-BE49-F238E27FC236}">
              <a16:creationId xmlns:a16="http://schemas.microsoft.com/office/drawing/2014/main" id="{9677996A-CB59-49AF-9B36-C53ADAB49695}"/>
            </a:ext>
          </a:extLst>
        </xdr:cNvPr>
        <xdr:cNvSpPr txBox="1"/>
      </xdr:nvSpPr>
      <xdr:spPr>
        <a:xfrm>
          <a:off x="5034187" y="598115"/>
          <a:ext cx="2081212" cy="3353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555ABAA0-2F70-4E31-851E-A7F940F1B866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 $887,209.00 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9</xdr:col>
      <xdr:colOff>114300</xdr:colOff>
      <xdr:row>7</xdr:row>
      <xdr:rowOff>99060</xdr:rowOff>
    </xdr:from>
    <xdr:ext cx="2081212" cy="335348"/>
    <xdr:sp macro="" textlink="$W$27">
      <xdr:nvSpPr>
        <xdr:cNvPr id="30" name="TextBox 29">
          <a:extLst>
            <a:ext uri="{FF2B5EF4-FFF2-40B4-BE49-F238E27FC236}">
              <a16:creationId xmlns:a16="http://schemas.microsoft.com/office/drawing/2014/main" id="{E924FD4C-D626-4267-9CD1-F4F8EFC5B8EF}"/>
            </a:ext>
          </a:extLst>
        </xdr:cNvPr>
        <xdr:cNvSpPr txBox="1"/>
      </xdr:nvSpPr>
      <xdr:spPr>
        <a:xfrm>
          <a:off x="4983480" y="1379220"/>
          <a:ext cx="2081212" cy="3353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3D26384B-1376-47DA-A84E-B389024B79C7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 $150,000.00 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 editAs="oneCell">
    <xdr:from>
      <xdr:col>9</xdr:col>
      <xdr:colOff>182880</xdr:colOff>
      <xdr:row>6</xdr:row>
      <xdr:rowOff>159410</xdr:rowOff>
    </xdr:from>
    <xdr:to>
      <xdr:col>9</xdr:col>
      <xdr:colOff>601980</xdr:colOff>
      <xdr:row>9</xdr:row>
      <xdr:rowOff>29870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A965DEB8-2DC0-447F-BEA4-2D831EE15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7320" y="125669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9</xdr:col>
      <xdr:colOff>198120</xdr:colOff>
      <xdr:row>2</xdr:row>
      <xdr:rowOff>144780</xdr:rowOff>
    </xdr:from>
    <xdr:to>
      <xdr:col>9</xdr:col>
      <xdr:colOff>601370</xdr:colOff>
      <xdr:row>5</xdr:row>
      <xdr:rowOff>4470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CDFE364-FB40-4626-B9ED-81D59E728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560" y="510540"/>
          <a:ext cx="403250" cy="403250"/>
        </a:xfrm>
        <a:prstGeom prst="rect">
          <a:avLst/>
        </a:prstGeom>
      </xdr:spPr>
    </xdr:pic>
    <xdr:clientData/>
  </xdr:twoCellAnchor>
  <xdr:oneCellAnchor>
    <xdr:from>
      <xdr:col>9</xdr:col>
      <xdr:colOff>144780</xdr:colOff>
      <xdr:row>11</xdr:row>
      <xdr:rowOff>121920</xdr:rowOff>
    </xdr:from>
    <xdr:ext cx="2081212" cy="335348"/>
    <xdr:sp macro="" textlink="$W$31">
      <xdr:nvSpPr>
        <xdr:cNvPr id="36" name="TextBox 35">
          <a:extLst>
            <a:ext uri="{FF2B5EF4-FFF2-40B4-BE49-F238E27FC236}">
              <a16:creationId xmlns:a16="http://schemas.microsoft.com/office/drawing/2014/main" id="{EE30B8A8-D467-49E8-ABD8-3434A5C3B2C0}"/>
            </a:ext>
          </a:extLst>
        </xdr:cNvPr>
        <xdr:cNvSpPr txBox="1"/>
      </xdr:nvSpPr>
      <xdr:spPr>
        <a:xfrm>
          <a:off x="5013960" y="2133600"/>
          <a:ext cx="2081212" cy="3353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fld id="{0416BF42-40A9-4FDE-9606-72B8DE954DAA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 $12,009,400.00 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 editAs="oneCell">
    <xdr:from>
      <xdr:col>9</xdr:col>
      <xdr:colOff>167640</xdr:colOff>
      <xdr:row>11</xdr:row>
      <xdr:rowOff>14630</xdr:rowOff>
    </xdr:from>
    <xdr:to>
      <xdr:col>9</xdr:col>
      <xdr:colOff>571500</xdr:colOff>
      <xdr:row>13</xdr:row>
      <xdr:rowOff>52730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C55CF25-ED52-4A19-9B27-0E5F45571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2080" y="2026310"/>
          <a:ext cx="403860" cy="403860"/>
        </a:xfrm>
        <a:prstGeom prst="rect">
          <a:avLst/>
        </a:prstGeom>
      </xdr:spPr>
    </xdr:pic>
    <xdr:clientData/>
  </xdr:twoCellAnchor>
  <xdr:twoCellAnchor>
    <xdr:from>
      <xdr:col>11</xdr:col>
      <xdr:colOff>598170</xdr:colOff>
      <xdr:row>1</xdr:row>
      <xdr:rowOff>22860</xdr:rowOff>
    </xdr:from>
    <xdr:to>
      <xdr:col>15</xdr:col>
      <xdr:colOff>320040</xdr:colOff>
      <xdr:row>7</xdr:row>
      <xdr:rowOff>22860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4598691-6F50-477F-AEED-4B0743588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590550</xdr:colOff>
      <xdr:row>7</xdr:row>
      <xdr:rowOff>83820</xdr:rowOff>
    </xdr:from>
    <xdr:to>
      <xdr:col>15</xdr:col>
      <xdr:colOff>320040</xdr:colOff>
      <xdr:row>13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6734DE8-3ADB-4640-AAD0-AFDD0576F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373380</xdr:colOff>
      <xdr:row>1</xdr:row>
      <xdr:rowOff>30480</xdr:rowOff>
    </xdr:from>
    <xdr:to>
      <xdr:col>16</xdr:col>
      <xdr:colOff>556260</xdr:colOff>
      <xdr:row>7</xdr:row>
      <xdr:rowOff>30480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7943E97C-93CE-4670-BC4F-EB66EFE9C09D}"/>
            </a:ext>
          </a:extLst>
        </xdr:cNvPr>
        <xdr:cNvSpPr/>
      </xdr:nvSpPr>
      <xdr:spPr>
        <a:xfrm>
          <a:off x="9075420" y="213360"/>
          <a:ext cx="792480" cy="1097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373380</xdr:colOff>
      <xdr:row>7</xdr:row>
      <xdr:rowOff>83820</xdr:rowOff>
    </xdr:from>
    <xdr:to>
      <xdr:col>16</xdr:col>
      <xdr:colOff>556260</xdr:colOff>
      <xdr:row>13</xdr:row>
      <xdr:rowOff>68580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C3E14E0E-0EA0-4D61-A860-20748D638EAD}"/>
            </a:ext>
          </a:extLst>
        </xdr:cNvPr>
        <xdr:cNvSpPr/>
      </xdr:nvSpPr>
      <xdr:spPr>
        <a:xfrm>
          <a:off x="9075420" y="1363980"/>
          <a:ext cx="792480" cy="108204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15</xdr:col>
      <xdr:colOff>411480</xdr:colOff>
      <xdr:row>0</xdr:row>
      <xdr:rowOff>175260</xdr:rowOff>
    </xdr:from>
    <xdr:ext cx="771045" cy="2939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6272D6A1-7EC5-4F8D-BACE-621376A2ADDE}"/>
            </a:ext>
          </a:extLst>
        </xdr:cNvPr>
        <xdr:cNvSpPr txBox="1"/>
      </xdr:nvSpPr>
      <xdr:spPr>
        <a:xfrm>
          <a:off x="9113520" y="175260"/>
          <a:ext cx="771045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Outsource</a:t>
          </a:r>
        </a:p>
      </xdr:txBody>
    </xdr:sp>
    <xdr:clientData/>
  </xdr:oneCellAnchor>
  <xdr:oneCellAnchor>
    <xdr:from>
      <xdr:col>15</xdr:col>
      <xdr:colOff>381000</xdr:colOff>
      <xdr:row>7</xdr:row>
      <xdr:rowOff>68580</xdr:rowOff>
    </xdr:from>
    <xdr:ext cx="854849" cy="2939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9AD43952-E4D8-4580-972A-5E6097130938}"/>
            </a:ext>
          </a:extLst>
        </xdr:cNvPr>
        <xdr:cNvSpPr txBox="1"/>
      </xdr:nvSpPr>
      <xdr:spPr>
        <a:xfrm>
          <a:off x="9083040" y="1348740"/>
          <a:ext cx="854849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Part Timers</a:t>
          </a:r>
        </a:p>
      </xdr:txBody>
    </xdr:sp>
    <xdr:clientData/>
  </xdr:oneCellAnchor>
  <xdr:oneCellAnchor>
    <xdr:from>
      <xdr:col>15</xdr:col>
      <xdr:colOff>373380</xdr:colOff>
      <xdr:row>2</xdr:row>
      <xdr:rowOff>129540</xdr:rowOff>
    </xdr:from>
    <xdr:ext cx="777240" cy="800100"/>
    <xdr:sp macro="" textlink="$W$41">
      <xdr:nvSpPr>
        <xdr:cNvPr id="42" name="TextBox 41">
          <a:extLst>
            <a:ext uri="{FF2B5EF4-FFF2-40B4-BE49-F238E27FC236}">
              <a16:creationId xmlns:a16="http://schemas.microsoft.com/office/drawing/2014/main" id="{FC36BB5D-29EC-4D1A-BBBF-FB4847796177}"/>
            </a:ext>
          </a:extLst>
        </xdr:cNvPr>
        <xdr:cNvSpPr txBox="1"/>
      </xdr:nvSpPr>
      <xdr:spPr>
        <a:xfrm>
          <a:off x="9075420" y="495300"/>
          <a:ext cx="777240" cy="8001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C8DB188E-7743-4C74-8DE1-0EBB2EC7021E}" type="TxLink">
            <a:rPr lang="en-US" sz="28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40</a:t>
          </a:fld>
          <a:endParaRPr lang="en-US" sz="28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15</xdr:col>
      <xdr:colOff>373380</xdr:colOff>
      <xdr:row>8</xdr:row>
      <xdr:rowOff>152400</xdr:rowOff>
    </xdr:from>
    <xdr:ext cx="777240" cy="800100"/>
    <xdr:sp macro="" textlink="$X$41">
      <xdr:nvSpPr>
        <xdr:cNvPr id="43" name="TextBox 42">
          <a:extLst>
            <a:ext uri="{FF2B5EF4-FFF2-40B4-BE49-F238E27FC236}">
              <a16:creationId xmlns:a16="http://schemas.microsoft.com/office/drawing/2014/main" id="{E5A41748-94A6-42EE-B398-8FC828AEA748}"/>
            </a:ext>
          </a:extLst>
        </xdr:cNvPr>
        <xdr:cNvSpPr txBox="1"/>
      </xdr:nvSpPr>
      <xdr:spPr>
        <a:xfrm>
          <a:off x="9075420" y="1615440"/>
          <a:ext cx="777240" cy="8001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53AEC28F-FFB5-4E85-B1BF-75DABDD7BDF1}" type="TxLink">
            <a:rPr lang="en-US" sz="28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50</a:t>
          </a:fld>
          <a:endParaRPr lang="en-US" sz="28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>
    <xdr:from>
      <xdr:col>3</xdr:col>
      <xdr:colOff>30480</xdr:colOff>
      <xdr:row>13</xdr:row>
      <xdr:rowOff>129540</xdr:rowOff>
    </xdr:from>
    <xdr:to>
      <xdr:col>5</xdr:col>
      <xdr:colOff>198120</xdr:colOff>
      <xdr:row>17</xdr:row>
      <xdr:rowOff>114300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B9104941-70BC-4AAE-8E40-9FD02DC10B1C}"/>
            </a:ext>
          </a:extLst>
        </xdr:cNvPr>
        <xdr:cNvSpPr/>
      </xdr:nvSpPr>
      <xdr:spPr>
        <a:xfrm>
          <a:off x="1417320" y="2506980"/>
          <a:ext cx="1386840" cy="716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225552</xdr:colOff>
      <xdr:row>13</xdr:row>
      <xdr:rowOff>129540</xdr:rowOff>
    </xdr:from>
    <xdr:to>
      <xdr:col>7</xdr:col>
      <xdr:colOff>393192</xdr:colOff>
      <xdr:row>17</xdr:row>
      <xdr:rowOff>114300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1506E811-D4E6-4DB7-9A26-912A19046D9E}"/>
            </a:ext>
          </a:extLst>
        </xdr:cNvPr>
        <xdr:cNvSpPr/>
      </xdr:nvSpPr>
      <xdr:spPr>
        <a:xfrm>
          <a:off x="2831592" y="2506980"/>
          <a:ext cx="1386840" cy="716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420624</xdr:colOff>
      <xdr:row>13</xdr:row>
      <xdr:rowOff>129540</xdr:rowOff>
    </xdr:from>
    <xdr:to>
      <xdr:col>9</xdr:col>
      <xdr:colOff>588264</xdr:colOff>
      <xdr:row>17</xdr:row>
      <xdr:rowOff>114300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6B8A580C-BAFE-475F-B807-4652601E6D6B}"/>
            </a:ext>
          </a:extLst>
        </xdr:cNvPr>
        <xdr:cNvSpPr/>
      </xdr:nvSpPr>
      <xdr:spPr>
        <a:xfrm>
          <a:off x="4245864" y="2506980"/>
          <a:ext cx="1386840" cy="716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6096</xdr:colOff>
      <xdr:row>13</xdr:row>
      <xdr:rowOff>129540</xdr:rowOff>
    </xdr:from>
    <xdr:to>
      <xdr:col>12</xdr:col>
      <xdr:colOff>173736</xdr:colOff>
      <xdr:row>17</xdr:row>
      <xdr:rowOff>114300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BBC0E948-53CD-4BF3-A294-1FD8DB3615F6}"/>
            </a:ext>
          </a:extLst>
        </xdr:cNvPr>
        <xdr:cNvSpPr/>
      </xdr:nvSpPr>
      <xdr:spPr>
        <a:xfrm>
          <a:off x="5660136" y="2506980"/>
          <a:ext cx="1386840" cy="716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201168</xdr:colOff>
      <xdr:row>13</xdr:row>
      <xdr:rowOff>129540</xdr:rowOff>
    </xdr:from>
    <xdr:to>
      <xdr:col>14</xdr:col>
      <xdr:colOff>368808</xdr:colOff>
      <xdr:row>17</xdr:row>
      <xdr:rowOff>114300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3A1B932C-0CF7-40A1-88C4-944A73BDBE09}"/>
            </a:ext>
          </a:extLst>
        </xdr:cNvPr>
        <xdr:cNvSpPr/>
      </xdr:nvSpPr>
      <xdr:spPr>
        <a:xfrm>
          <a:off x="7074408" y="2506980"/>
          <a:ext cx="1386840" cy="716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396240</xdr:colOff>
      <xdr:row>13</xdr:row>
      <xdr:rowOff>129540</xdr:rowOff>
    </xdr:from>
    <xdr:to>
      <xdr:col>16</xdr:col>
      <xdr:colOff>563880</xdr:colOff>
      <xdr:row>17</xdr:row>
      <xdr:rowOff>114300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05D06C9C-2C9A-4827-8F71-EE020E2B789C}"/>
            </a:ext>
          </a:extLst>
        </xdr:cNvPr>
        <xdr:cNvSpPr/>
      </xdr:nvSpPr>
      <xdr:spPr>
        <a:xfrm>
          <a:off x="8488680" y="2506980"/>
          <a:ext cx="1386840" cy="71628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38100</xdr:colOff>
      <xdr:row>15</xdr:row>
      <xdr:rowOff>60960</xdr:rowOff>
    </xdr:from>
    <xdr:ext cx="1379220" cy="406537"/>
    <xdr:sp macro="" textlink="$X$19">
      <xdr:nvSpPr>
        <xdr:cNvPr id="51" name="TextBox 50">
          <a:extLst>
            <a:ext uri="{FF2B5EF4-FFF2-40B4-BE49-F238E27FC236}">
              <a16:creationId xmlns:a16="http://schemas.microsoft.com/office/drawing/2014/main" id="{27D4BCDC-E00E-4E4E-8CAC-3F1F1E89162A}"/>
            </a:ext>
          </a:extLst>
        </xdr:cNvPr>
        <xdr:cNvSpPr txBox="1"/>
      </xdr:nvSpPr>
      <xdr:spPr>
        <a:xfrm>
          <a:off x="1424940" y="280416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7C9D7D9D-18C7-450E-BF88-D1EF1B34BDF0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50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5</xdr:col>
      <xdr:colOff>236220</xdr:colOff>
      <xdr:row>15</xdr:row>
      <xdr:rowOff>60960</xdr:rowOff>
    </xdr:from>
    <xdr:ext cx="1379220" cy="406537"/>
    <xdr:sp macro="" textlink="$X$23">
      <xdr:nvSpPr>
        <xdr:cNvPr id="52" name="TextBox 51">
          <a:extLst>
            <a:ext uri="{FF2B5EF4-FFF2-40B4-BE49-F238E27FC236}">
              <a16:creationId xmlns:a16="http://schemas.microsoft.com/office/drawing/2014/main" id="{49D017CE-0330-4546-9115-02FFC5D4692E}"/>
            </a:ext>
          </a:extLst>
        </xdr:cNvPr>
        <xdr:cNvSpPr txBox="1"/>
      </xdr:nvSpPr>
      <xdr:spPr>
        <a:xfrm>
          <a:off x="2842260" y="280416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D15A914D-54D4-4384-960C-16AA55D9637B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100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7</xdr:col>
      <xdr:colOff>441960</xdr:colOff>
      <xdr:row>15</xdr:row>
      <xdr:rowOff>60960</xdr:rowOff>
    </xdr:from>
    <xdr:ext cx="1379220" cy="406537"/>
    <xdr:sp macro="" textlink="$X$31">
      <xdr:nvSpPr>
        <xdr:cNvPr id="53" name="TextBox 52">
          <a:extLst>
            <a:ext uri="{FF2B5EF4-FFF2-40B4-BE49-F238E27FC236}">
              <a16:creationId xmlns:a16="http://schemas.microsoft.com/office/drawing/2014/main" id="{C646F1B7-EED8-4CD9-8FF0-47ADA0670CE0}"/>
            </a:ext>
          </a:extLst>
        </xdr:cNvPr>
        <xdr:cNvSpPr txBox="1"/>
      </xdr:nvSpPr>
      <xdr:spPr>
        <a:xfrm>
          <a:off x="4267200" y="280416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2DC2810D-552B-4E9A-9627-68794C2BFC19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10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10</xdr:col>
      <xdr:colOff>15240</xdr:colOff>
      <xdr:row>15</xdr:row>
      <xdr:rowOff>60960</xdr:rowOff>
    </xdr:from>
    <xdr:ext cx="1379220" cy="406537"/>
    <xdr:sp macro="" textlink="$Y$31">
      <xdr:nvSpPr>
        <xdr:cNvPr id="54" name="TextBox 53">
          <a:extLst>
            <a:ext uri="{FF2B5EF4-FFF2-40B4-BE49-F238E27FC236}">
              <a16:creationId xmlns:a16="http://schemas.microsoft.com/office/drawing/2014/main" id="{6E551C7B-3053-4E74-99D8-DE4209B8A362}"/>
            </a:ext>
          </a:extLst>
        </xdr:cNvPr>
        <xdr:cNvSpPr txBox="1"/>
      </xdr:nvSpPr>
      <xdr:spPr>
        <a:xfrm>
          <a:off x="5669280" y="280416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20A0A18C-81E8-409B-AD9E-787984F70E01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12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12</xdr:col>
      <xdr:colOff>205740</xdr:colOff>
      <xdr:row>15</xdr:row>
      <xdr:rowOff>60960</xdr:rowOff>
    </xdr:from>
    <xdr:ext cx="1379220" cy="406537"/>
    <xdr:sp macro="" textlink="$Z$31">
      <xdr:nvSpPr>
        <xdr:cNvPr id="55" name="TextBox 54">
          <a:extLst>
            <a:ext uri="{FF2B5EF4-FFF2-40B4-BE49-F238E27FC236}">
              <a16:creationId xmlns:a16="http://schemas.microsoft.com/office/drawing/2014/main" id="{03E6C3A6-6AA5-4B3D-93C2-72536617AF9E}"/>
            </a:ext>
          </a:extLst>
        </xdr:cNvPr>
        <xdr:cNvSpPr txBox="1"/>
      </xdr:nvSpPr>
      <xdr:spPr>
        <a:xfrm>
          <a:off x="7078980" y="280416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3189C8AA-619B-4596-AEB2-B26A68BA4FAB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45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14</xdr:col>
      <xdr:colOff>419100</xdr:colOff>
      <xdr:row>15</xdr:row>
      <xdr:rowOff>60960</xdr:rowOff>
    </xdr:from>
    <xdr:ext cx="1379220" cy="406537"/>
    <xdr:sp macro="" textlink="$AA$31">
      <xdr:nvSpPr>
        <xdr:cNvPr id="56" name="TextBox 55">
          <a:extLst>
            <a:ext uri="{FF2B5EF4-FFF2-40B4-BE49-F238E27FC236}">
              <a16:creationId xmlns:a16="http://schemas.microsoft.com/office/drawing/2014/main" id="{F4B4991A-E21B-4BCA-931E-77B9636120ED}"/>
            </a:ext>
          </a:extLst>
        </xdr:cNvPr>
        <xdr:cNvSpPr txBox="1"/>
      </xdr:nvSpPr>
      <xdr:spPr>
        <a:xfrm>
          <a:off x="8511540" y="2804160"/>
          <a:ext cx="137922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EEE4C788-307B-409D-9E62-A2EA0E3F0C16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320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5</xdr:col>
      <xdr:colOff>236220</xdr:colOff>
      <xdr:row>13</xdr:row>
      <xdr:rowOff>137160</xdr:rowOff>
    </xdr:from>
    <xdr:ext cx="1386840" cy="2939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F08BE8AD-4AEB-446C-B06A-2600FF733BC8}"/>
            </a:ext>
          </a:extLst>
        </xdr:cNvPr>
        <xdr:cNvSpPr txBox="1"/>
      </xdr:nvSpPr>
      <xdr:spPr>
        <a:xfrm>
          <a:off x="284226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Corrective Actions</a:t>
          </a:r>
        </a:p>
      </xdr:txBody>
    </xdr:sp>
    <xdr:clientData/>
  </xdr:oneCellAnchor>
  <xdr:oneCellAnchor>
    <xdr:from>
      <xdr:col>7</xdr:col>
      <xdr:colOff>426720</xdr:colOff>
      <xdr:row>13</xdr:row>
      <xdr:rowOff>137160</xdr:rowOff>
    </xdr:from>
    <xdr:ext cx="1386840" cy="2939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1AA93E4B-4668-4424-9301-6F42BF8FE2BA}"/>
            </a:ext>
          </a:extLst>
        </xdr:cNvPr>
        <xdr:cNvSpPr txBox="1"/>
      </xdr:nvSpPr>
      <xdr:spPr>
        <a:xfrm>
          <a:off x="425196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Contract Termination</a:t>
          </a:r>
        </a:p>
      </xdr:txBody>
    </xdr:sp>
    <xdr:clientData/>
  </xdr:oneCellAnchor>
  <xdr:oneCellAnchor>
    <xdr:from>
      <xdr:col>10</xdr:col>
      <xdr:colOff>7620</xdr:colOff>
      <xdr:row>13</xdr:row>
      <xdr:rowOff>137160</xdr:rowOff>
    </xdr:from>
    <xdr:ext cx="1386840" cy="2939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BE70F127-74E8-4143-B203-55B85AA7EC18}"/>
            </a:ext>
          </a:extLst>
        </xdr:cNvPr>
        <xdr:cNvSpPr txBox="1"/>
      </xdr:nvSpPr>
      <xdr:spPr>
        <a:xfrm>
          <a:off x="566166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Probation Period Ter.</a:t>
          </a:r>
        </a:p>
      </xdr:txBody>
    </xdr:sp>
    <xdr:clientData/>
  </xdr:oneCellAnchor>
  <xdr:oneCellAnchor>
    <xdr:from>
      <xdr:col>12</xdr:col>
      <xdr:colOff>205740</xdr:colOff>
      <xdr:row>13</xdr:row>
      <xdr:rowOff>137160</xdr:rowOff>
    </xdr:from>
    <xdr:ext cx="1386840" cy="2939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225A63A-BDC4-4139-B028-DCA0179DEFE4}"/>
            </a:ext>
          </a:extLst>
        </xdr:cNvPr>
        <xdr:cNvSpPr txBox="1"/>
      </xdr:nvSpPr>
      <xdr:spPr>
        <a:xfrm>
          <a:off x="707898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Training Hours</a:t>
          </a:r>
        </a:p>
      </xdr:txBody>
    </xdr:sp>
    <xdr:clientData/>
  </xdr:oneCellAnchor>
  <xdr:oneCellAnchor>
    <xdr:from>
      <xdr:col>14</xdr:col>
      <xdr:colOff>396240</xdr:colOff>
      <xdr:row>13</xdr:row>
      <xdr:rowOff>137160</xdr:rowOff>
    </xdr:from>
    <xdr:ext cx="1386840" cy="2939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A09E5649-5F59-4513-9052-666F95C05103}"/>
            </a:ext>
          </a:extLst>
        </xdr:cNvPr>
        <xdr:cNvSpPr txBox="1"/>
      </xdr:nvSpPr>
      <xdr:spPr>
        <a:xfrm>
          <a:off x="8488680" y="2514600"/>
          <a:ext cx="1386840" cy="29392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</a:rPr>
            <a:t>Trained Employees</a:t>
          </a:r>
        </a:p>
      </xdr:txBody>
    </xdr:sp>
    <xdr:clientData/>
  </xdr:oneCellAnchor>
  <xdr:twoCellAnchor editAs="oneCell">
    <xdr:from>
      <xdr:col>3</xdr:col>
      <xdr:colOff>45722</xdr:colOff>
      <xdr:row>17</xdr:row>
      <xdr:rowOff>152400</xdr:rowOff>
    </xdr:from>
    <xdr:to>
      <xdr:col>5</xdr:col>
      <xdr:colOff>190502</xdr:colOff>
      <xdr:row>25</xdr:row>
      <xdr:rowOff>53340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26E1378-E7BC-46AD-B57A-B96BC9130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995" y="3214255"/>
          <a:ext cx="1363980" cy="1341812"/>
        </a:xfrm>
        <a:prstGeom prst="rect">
          <a:avLst/>
        </a:prstGeom>
        <a:ln w="3175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oneCellAnchor>
    <xdr:from>
      <xdr:col>4</xdr:col>
      <xdr:colOff>144780</xdr:colOff>
      <xdr:row>23</xdr:row>
      <xdr:rowOff>175260</xdr:rowOff>
    </xdr:from>
    <xdr:ext cx="518160" cy="246517"/>
    <xdr:sp macro="" textlink="$Z$19">
      <xdr:nvSpPr>
        <xdr:cNvPr id="65" name="TextBox 64">
          <a:extLst>
            <a:ext uri="{FF2B5EF4-FFF2-40B4-BE49-F238E27FC236}">
              <a16:creationId xmlns:a16="http://schemas.microsoft.com/office/drawing/2014/main" id="{94A8084E-0354-4215-B2CA-0EAC2F742A8E}"/>
            </a:ext>
          </a:extLst>
        </xdr:cNvPr>
        <xdr:cNvSpPr txBox="1"/>
      </xdr:nvSpPr>
      <xdr:spPr>
        <a:xfrm>
          <a:off x="2141220" y="4381500"/>
          <a:ext cx="518160" cy="2465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6ECEB580-8B8F-4F87-8820-D39AD2822009}" type="TxLink">
            <a:rPr lang="en-US" sz="11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 3,400 </a:t>
          </a:fld>
          <a:endParaRPr lang="en-US" sz="11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3</xdr:col>
      <xdr:colOff>137160</xdr:colOff>
      <xdr:row>23</xdr:row>
      <xdr:rowOff>175260</xdr:rowOff>
    </xdr:from>
    <xdr:ext cx="518160" cy="246517"/>
    <xdr:sp macro="" textlink="$Y$19">
      <xdr:nvSpPr>
        <xdr:cNvPr id="66" name="TextBox 65">
          <a:extLst>
            <a:ext uri="{FF2B5EF4-FFF2-40B4-BE49-F238E27FC236}">
              <a16:creationId xmlns:a16="http://schemas.microsoft.com/office/drawing/2014/main" id="{46C20FC2-1F8E-42A6-BC63-8BD0FD8D3515}"/>
            </a:ext>
          </a:extLst>
        </xdr:cNvPr>
        <xdr:cNvSpPr txBox="1"/>
      </xdr:nvSpPr>
      <xdr:spPr>
        <a:xfrm>
          <a:off x="1524000" y="4381500"/>
          <a:ext cx="518160" cy="2465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854D4644-1973-47CE-9D4D-BA2223ABC62F}" type="TxLink">
            <a:rPr lang="en-US" sz="11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300</a:t>
          </a:fld>
          <a:endParaRPr lang="en-US" sz="11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 editAs="oneCell">
    <xdr:from>
      <xdr:col>5</xdr:col>
      <xdr:colOff>243840</xdr:colOff>
      <xdr:row>17</xdr:row>
      <xdr:rowOff>152400</xdr:rowOff>
    </xdr:from>
    <xdr:to>
      <xdr:col>7</xdr:col>
      <xdr:colOff>388620</xdr:colOff>
      <xdr:row>25</xdr:row>
      <xdr:rowOff>53340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CCDEA79A-E30D-48B4-A2C9-F5B1B4722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9880" y="3261360"/>
          <a:ext cx="1363980" cy="1363980"/>
        </a:xfrm>
        <a:prstGeom prst="rect">
          <a:avLst/>
        </a:prstGeom>
        <a:ln>
          <a:solidFill>
            <a:schemeClr val="bg2">
              <a:lumMod val="90000"/>
            </a:schemeClr>
          </a:solidFill>
        </a:ln>
      </xdr:spPr>
    </xdr:pic>
    <xdr:clientData/>
  </xdr:twoCellAnchor>
  <xdr:oneCellAnchor>
    <xdr:from>
      <xdr:col>5</xdr:col>
      <xdr:colOff>594360</xdr:colOff>
      <xdr:row>19</xdr:row>
      <xdr:rowOff>160020</xdr:rowOff>
    </xdr:from>
    <xdr:ext cx="662940" cy="640080"/>
    <xdr:sp macro="" textlink="$X$27">
      <xdr:nvSpPr>
        <xdr:cNvPr id="69" name="TextBox 68">
          <a:extLst>
            <a:ext uri="{FF2B5EF4-FFF2-40B4-BE49-F238E27FC236}">
              <a16:creationId xmlns:a16="http://schemas.microsoft.com/office/drawing/2014/main" id="{D7843A10-C6AE-4A96-8778-9A9BC5DCEE23}"/>
            </a:ext>
          </a:extLst>
        </xdr:cNvPr>
        <xdr:cNvSpPr txBox="1"/>
      </xdr:nvSpPr>
      <xdr:spPr>
        <a:xfrm>
          <a:off x="3200400" y="3634740"/>
          <a:ext cx="662940" cy="640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E0C73E08-2354-4A87-916C-6DD61987C0F0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12.00%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5</xdr:col>
      <xdr:colOff>243840</xdr:colOff>
      <xdr:row>17</xdr:row>
      <xdr:rowOff>144780</xdr:rowOff>
    </xdr:from>
    <xdr:ext cx="1386840" cy="2939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FD8A3EC4-26B0-4D92-BA02-DEE1EE887C77}"/>
            </a:ext>
          </a:extLst>
        </xdr:cNvPr>
        <xdr:cNvSpPr txBox="1"/>
      </xdr:nvSpPr>
      <xdr:spPr>
        <a:xfrm>
          <a:off x="2849880" y="3253740"/>
          <a:ext cx="1386840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Turnover</a:t>
          </a:r>
        </a:p>
      </xdr:txBody>
    </xdr:sp>
    <xdr:clientData/>
  </xdr:oneCellAnchor>
  <xdr:twoCellAnchor>
    <xdr:from>
      <xdr:col>3</xdr:col>
      <xdr:colOff>53340</xdr:colOff>
      <xdr:row>25</xdr:row>
      <xdr:rowOff>91440</xdr:rowOff>
    </xdr:from>
    <xdr:to>
      <xdr:col>7</xdr:col>
      <xdr:colOff>388620</xdr:colOff>
      <xdr:row>31</xdr:row>
      <xdr:rowOff>121920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DC44C961-7106-4032-8F97-1932E94874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419100</xdr:colOff>
      <xdr:row>23</xdr:row>
      <xdr:rowOff>160020</xdr:rowOff>
    </xdr:from>
    <xdr:to>
      <xdr:col>10</xdr:col>
      <xdr:colOff>220980</xdr:colOff>
      <xdr:row>31</xdr:row>
      <xdr:rowOff>106680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8895FD58-D31A-4D32-B0A7-D342377A9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419100</xdr:colOff>
      <xdr:row>17</xdr:row>
      <xdr:rowOff>152400</xdr:rowOff>
    </xdr:from>
    <xdr:to>
      <xdr:col>8</xdr:col>
      <xdr:colOff>601980</xdr:colOff>
      <xdr:row>23</xdr:row>
      <xdr:rowOff>137160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7319F288-9AC2-4C1D-AE90-30F61EA1843A}"/>
            </a:ext>
          </a:extLst>
        </xdr:cNvPr>
        <xdr:cNvSpPr/>
      </xdr:nvSpPr>
      <xdr:spPr>
        <a:xfrm>
          <a:off x="4244340" y="3261360"/>
          <a:ext cx="792480" cy="108204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30480</xdr:colOff>
      <xdr:row>17</xdr:row>
      <xdr:rowOff>152400</xdr:rowOff>
    </xdr:from>
    <xdr:to>
      <xdr:col>10</xdr:col>
      <xdr:colOff>213360</xdr:colOff>
      <xdr:row>23</xdr:row>
      <xdr:rowOff>137160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BE25FB36-077D-4250-AD37-66B992F4A226}"/>
            </a:ext>
          </a:extLst>
        </xdr:cNvPr>
        <xdr:cNvSpPr/>
      </xdr:nvSpPr>
      <xdr:spPr>
        <a:xfrm>
          <a:off x="5074920" y="3261360"/>
          <a:ext cx="792480" cy="1082040"/>
        </a:xfrm>
        <a:prstGeom prst="rect">
          <a:avLst/>
        </a:prstGeom>
        <a:noFill/>
        <a:ln w="3175"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426720</xdr:colOff>
      <xdr:row>28</xdr:row>
      <xdr:rowOff>106680</xdr:rowOff>
    </xdr:from>
    <xdr:ext cx="1630680" cy="2939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FEB19735-A453-4E7B-BF65-E658C5719082}"/>
            </a:ext>
          </a:extLst>
        </xdr:cNvPr>
        <xdr:cNvSpPr txBox="1"/>
      </xdr:nvSpPr>
      <xdr:spPr>
        <a:xfrm>
          <a:off x="4251960" y="5227320"/>
          <a:ext cx="1630680" cy="2939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HR Count</a:t>
          </a:r>
        </a:p>
      </xdr:txBody>
    </xdr:sp>
    <xdr:clientData/>
  </xdr:oneCellAnchor>
  <xdr:twoCellAnchor>
    <xdr:from>
      <xdr:col>10</xdr:col>
      <xdr:colOff>259080</xdr:colOff>
      <xdr:row>17</xdr:row>
      <xdr:rowOff>160020</xdr:rowOff>
    </xdr:from>
    <xdr:to>
      <xdr:col>11</xdr:col>
      <xdr:colOff>518160</xdr:colOff>
      <xdr:row>31</xdr:row>
      <xdr:rowOff>106680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E4442C00-51A7-48DE-AEFF-25FE839C0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10</xdr:col>
      <xdr:colOff>297180</xdr:colOff>
      <xdr:row>18</xdr:row>
      <xdr:rowOff>15240</xdr:rowOff>
    </xdr:from>
    <xdr:ext cx="807720" cy="5181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C8FE434A-AD97-43DF-85FF-1EF7C3A7A13A}"/>
            </a:ext>
          </a:extLst>
        </xdr:cNvPr>
        <xdr:cNvSpPr txBox="1"/>
      </xdr:nvSpPr>
      <xdr:spPr>
        <a:xfrm>
          <a:off x="5951220" y="3307080"/>
          <a:ext cx="807720" cy="518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Average Age</a:t>
          </a:r>
        </a:p>
      </xdr:txBody>
    </xdr:sp>
    <xdr:clientData/>
  </xdr:oneCellAnchor>
  <xdr:oneCellAnchor>
    <xdr:from>
      <xdr:col>10</xdr:col>
      <xdr:colOff>297180</xdr:colOff>
      <xdr:row>20</xdr:row>
      <xdr:rowOff>30480</xdr:rowOff>
    </xdr:from>
    <xdr:ext cx="807720" cy="518160"/>
    <xdr:sp macro="" textlink="$Y$23">
      <xdr:nvSpPr>
        <xdr:cNvPr id="78" name="TextBox 77">
          <a:extLst>
            <a:ext uri="{FF2B5EF4-FFF2-40B4-BE49-F238E27FC236}">
              <a16:creationId xmlns:a16="http://schemas.microsoft.com/office/drawing/2014/main" id="{4785C822-3B42-4A60-A2DF-8A27E662B44F}"/>
            </a:ext>
          </a:extLst>
        </xdr:cNvPr>
        <xdr:cNvSpPr txBox="1"/>
      </xdr:nvSpPr>
      <xdr:spPr>
        <a:xfrm>
          <a:off x="5951220" y="3688080"/>
          <a:ext cx="807720" cy="5181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743A0CB2-4176-44E2-9AF2-CE7E0315440B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32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twoCellAnchor>
    <xdr:from>
      <xdr:col>11</xdr:col>
      <xdr:colOff>541020</xdr:colOff>
      <xdr:row>17</xdr:row>
      <xdr:rowOff>167640</xdr:rowOff>
    </xdr:from>
    <xdr:to>
      <xdr:col>14</xdr:col>
      <xdr:colOff>182880</xdr:colOff>
      <xdr:row>24</xdr:row>
      <xdr:rowOff>76200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1C1BA87D-C32A-497A-9DB5-7EFD2CDFC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281940</xdr:colOff>
      <xdr:row>17</xdr:row>
      <xdr:rowOff>167640</xdr:rowOff>
    </xdr:from>
    <xdr:to>
      <xdr:col>16</xdr:col>
      <xdr:colOff>548640</xdr:colOff>
      <xdr:row>24</xdr:row>
      <xdr:rowOff>76200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71878621-280B-4760-B4F1-11FFBC7FB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541020</xdr:colOff>
      <xdr:row>24</xdr:row>
      <xdr:rowOff>99060</xdr:rowOff>
    </xdr:from>
    <xdr:to>
      <xdr:col>14</xdr:col>
      <xdr:colOff>198120</xdr:colOff>
      <xdr:row>31</xdr:row>
      <xdr:rowOff>99060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747EA9C5-C5BE-4581-87CF-8C9715573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274320</xdr:colOff>
      <xdr:row>24</xdr:row>
      <xdr:rowOff>106680</xdr:rowOff>
    </xdr:from>
    <xdr:to>
      <xdr:col>16</xdr:col>
      <xdr:colOff>541020</xdr:colOff>
      <xdr:row>31</xdr:row>
      <xdr:rowOff>106680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722D7445-8906-41E1-A55A-A3F7B38C4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oneCellAnchor>
    <xdr:from>
      <xdr:col>12</xdr:col>
      <xdr:colOff>144780</xdr:colOff>
      <xdr:row>20</xdr:row>
      <xdr:rowOff>175260</xdr:rowOff>
    </xdr:from>
    <xdr:ext cx="1028700" cy="437812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CBA39717-40BC-4D93-B158-C84B57F44A98}"/>
            </a:ext>
          </a:extLst>
        </xdr:cNvPr>
        <xdr:cNvSpPr txBox="1"/>
      </xdr:nvSpPr>
      <xdr:spPr>
        <a:xfrm>
          <a:off x="7018020" y="3832860"/>
          <a:ext cx="1028700" cy="437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Automated Processes</a:t>
          </a:r>
        </a:p>
      </xdr:txBody>
    </xdr:sp>
    <xdr:clientData/>
  </xdr:oneCellAnchor>
  <xdr:oneCellAnchor>
    <xdr:from>
      <xdr:col>12</xdr:col>
      <xdr:colOff>266700</xdr:colOff>
      <xdr:row>19</xdr:row>
      <xdr:rowOff>68580</xdr:rowOff>
    </xdr:from>
    <xdr:ext cx="838200" cy="322717"/>
    <xdr:sp macro="" textlink="$X$44">
      <xdr:nvSpPr>
        <xdr:cNvPr id="84" name="TextBox 83">
          <a:extLst>
            <a:ext uri="{FF2B5EF4-FFF2-40B4-BE49-F238E27FC236}">
              <a16:creationId xmlns:a16="http://schemas.microsoft.com/office/drawing/2014/main" id="{ED669A59-D3B1-4CE1-8A1C-931A386C3063}"/>
            </a:ext>
          </a:extLst>
        </xdr:cNvPr>
        <xdr:cNvSpPr txBox="1"/>
      </xdr:nvSpPr>
      <xdr:spPr>
        <a:xfrm>
          <a:off x="7139940" y="3543300"/>
          <a:ext cx="838200" cy="3227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EC4BB268-FE8A-47FA-9E8C-DDF564FD5175}" type="TxLink">
            <a:rPr 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10%</a:t>
          </a:fld>
          <a:endParaRPr lang="en-US" sz="1600" b="0" i="0" u="none" strike="noStrike">
            <a:solidFill>
              <a:schemeClr val="tx1">
                <a:lumMod val="65000"/>
                <a:lumOff val="35000"/>
              </a:schemeClr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14</xdr:col>
      <xdr:colOff>579120</xdr:colOff>
      <xdr:row>19</xdr:row>
      <xdr:rowOff>30480</xdr:rowOff>
    </xdr:from>
    <xdr:ext cx="838200" cy="322717"/>
    <xdr:sp macro="" textlink="$X$45">
      <xdr:nvSpPr>
        <xdr:cNvPr id="85" name="TextBox 84">
          <a:extLst>
            <a:ext uri="{FF2B5EF4-FFF2-40B4-BE49-F238E27FC236}">
              <a16:creationId xmlns:a16="http://schemas.microsoft.com/office/drawing/2014/main" id="{AE3AF7F4-FD92-44B4-B2B6-399DC698BEC6}"/>
            </a:ext>
          </a:extLst>
        </xdr:cNvPr>
        <xdr:cNvSpPr txBox="1"/>
      </xdr:nvSpPr>
      <xdr:spPr>
        <a:xfrm>
          <a:off x="8671560" y="3505200"/>
          <a:ext cx="838200" cy="3227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2AAB3B5A-5993-4BBF-B911-872ABA1A4796}" type="TxLink">
            <a:rPr 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22%</a:t>
          </a:fld>
          <a:endParaRPr lang="en-US" sz="1600" b="0" i="0" u="none" strike="noStrike">
            <a:solidFill>
              <a:schemeClr val="tx1">
                <a:lumMod val="65000"/>
                <a:lumOff val="35000"/>
              </a:schemeClr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14</xdr:col>
      <xdr:colOff>510540</xdr:colOff>
      <xdr:row>20</xdr:row>
      <xdr:rowOff>137160</xdr:rowOff>
    </xdr:from>
    <xdr:ext cx="1028700" cy="437812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EF5497C9-8F12-4A1E-B60C-66F7E4A8F89F}"/>
            </a:ext>
          </a:extLst>
        </xdr:cNvPr>
        <xdr:cNvSpPr txBox="1"/>
      </xdr:nvSpPr>
      <xdr:spPr>
        <a:xfrm>
          <a:off x="8602980" y="3794760"/>
          <a:ext cx="1028700" cy="437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Training Effectiveness</a:t>
          </a:r>
        </a:p>
      </xdr:txBody>
    </xdr:sp>
    <xdr:clientData/>
  </xdr:oneCellAnchor>
  <xdr:oneCellAnchor>
    <xdr:from>
      <xdr:col>12</xdr:col>
      <xdr:colOff>266700</xdr:colOff>
      <xdr:row>25</xdr:row>
      <xdr:rowOff>152400</xdr:rowOff>
    </xdr:from>
    <xdr:ext cx="838200" cy="322717"/>
    <xdr:sp macro="" textlink="$X$46">
      <xdr:nvSpPr>
        <xdr:cNvPr id="87" name="TextBox 86">
          <a:extLst>
            <a:ext uri="{FF2B5EF4-FFF2-40B4-BE49-F238E27FC236}">
              <a16:creationId xmlns:a16="http://schemas.microsoft.com/office/drawing/2014/main" id="{7F839971-3F50-46B5-BF87-8FAB800B4B87}"/>
            </a:ext>
          </a:extLst>
        </xdr:cNvPr>
        <xdr:cNvSpPr txBox="1"/>
      </xdr:nvSpPr>
      <xdr:spPr>
        <a:xfrm>
          <a:off x="7139940" y="4724400"/>
          <a:ext cx="838200" cy="3227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6747AE72-326A-4C0B-B21F-DDDC78A7AEB9}" type="TxLink">
            <a:rPr 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70%</a:t>
          </a:fld>
          <a:endParaRPr lang="en-US" sz="1600" b="0" i="0" u="none" strike="noStrike">
            <a:solidFill>
              <a:schemeClr val="tx1">
                <a:lumMod val="65000"/>
                <a:lumOff val="35000"/>
              </a:schemeClr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12</xdr:col>
      <xdr:colOff>144780</xdr:colOff>
      <xdr:row>27</xdr:row>
      <xdr:rowOff>121920</xdr:rowOff>
    </xdr:from>
    <xdr:ext cx="1028700" cy="437812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53803F9E-F3B5-4730-B2F3-CE4B06B31641}"/>
            </a:ext>
          </a:extLst>
        </xdr:cNvPr>
        <xdr:cNvSpPr txBox="1"/>
      </xdr:nvSpPr>
      <xdr:spPr>
        <a:xfrm>
          <a:off x="7018020" y="5059680"/>
          <a:ext cx="1028700" cy="437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Training</a:t>
          </a:r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 Plan Achievement </a:t>
          </a:r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oneCellAnchor>
    <xdr:from>
      <xdr:col>14</xdr:col>
      <xdr:colOff>495300</xdr:colOff>
      <xdr:row>27</xdr:row>
      <xdr:rowOff>114300</xdr:rowOff>
    </xdr:from>
    <xdr:ext cx="1028700" cy="437812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945790E6-34F6-4917-80DC-300C46802E57}"/>
            </a:ext>
          </a:extLst>
        </xdr:cNvPr>
        <xdr:cNvSpPr txBox="1"/>
      </xdr:nvSpPr>
      <xdr:spPr>
        <a:xfrm>
          <a:off x="8587740" y="5052060"/>
          <a:ext cx="1028700" cy="437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indent="0" algn="ctr"/>
          <a:r>
            <a:rPr lang="en-US" sz="12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MP</a:t>
          </a:r>
          <a:r>
            <a:rPr lang="en-US" sz="1200" baseline="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 Plan Achievement </a:t>
          </a:r>
          <a:endParaRPr lang="en-US" sz="1200">
            <a:solidFill>
              <a:schemeClr val="tx1">
                <a:lumMod val="50000"/>
                <a:lumOff val="50000"/>
              </a:schemeClr>
            </a:solidFill>
            <a:latin typeface="Agency FB" panose="020B0503020202020204" pitchFamily="34" charset="0"/>
            <a:ea typeface="+mn-ea"/>
            <a:cs typeface="+mn-cs"/>
          </a:endParaRPr>
        </a:p>
      </xdr:txBody>
    </xdr:sp>
    <xdr:clientData/>
  </xdr:oneCellAnchor>
  <xdr:oneCellAnchor>
    <xdr:from>
      <xdr:col>15</xdr:col>
      <xdr:colOff>0</xdr:colOff>
      <xdr:row>26</xdr:row>
      <xdr:rowOff>0</xdr:rowOff>
    </xdr:from>
    <xdr:ext cx="838200" cy="322717"/>
    <xdr:sp macro="" textlink="$X$47">
      <xdr:nvSpPr>
        <xdr:cNvPr id="90" name="TextBox 89">
          <a:extLst>
            <a:ext uri="{FF2B5EF4-FFF2-40B4-BE49-F238E27FC236}">
              <a16:creationId xmlns:a16="http://schemas.microsoft.com/office/drawing/2014/main" id="{7BB1A8F9-D0A4-4D8B-87AB-40F17FA58468}"/>
            </a:ext>
          </a:extLst>
        </xdr:cNvPr>
        <xdr:cNvSpPr txBox="1"/>
      </xdr:nvSpPr>
      <xdr:spPr>
        <a:xfrm>
          <a:off x="8702040" y="4754880"/>
          <a:ext cx="838200" cy="32271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13E95B84-EE63-4A74-B3F9-8764469FB99F}" type="TxLink">
            <a:rPr lang="en-US" sz="16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22%</a:t>
          </a:fld>
          <a:endParaRPr lang="en-US" sz="1600" b="0" i="0" u="none" strike="noStrike">
            <a:solidFill>
              <a:schemeClr val="tx1">
                <a:lumMod val="65000"/>
                <a:lumOff val="35000"/>
              </a:schemeClr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7</xdr:col>
      <xdr:colOff>441960</xdr:colOff>
      <xdr:row>17</xdr:row>
      <xdr:rowOff>160020</xdr:rowOff>
    </xdr:from>
    <xdr:ext cx="807720" cy="5181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59046163-D34C-4C94-ADA4-085D66ACB142}"/>
            </a:ext>
          </a:extLst>
        </xdr:cNvPr>
        <xdr:cNvSpPr txBox="1"/>
      </xdr:nvSpPr>
      <xdr:spPr>
        <a:xfrm>
          <a:off x="4267200" y="3268980"/>
          <a:ext cx="807720" cy="518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Retired Employees</a:t>
          </a:r>
        </a:p>
      </xdr:txBody>
    </xdr:sp>
    <xdr:clientData/>
  </xdr:oneCellAnchor>
  <xdr:oneCellAnchor>
    <xdr:from>
      <xdr:col>7</xdr:col>
      <xdr:colOff>419100</xdr:colOff>
      <xdr:row>20</xdr:row>
      <xdr:rowOff>152400</xdr:rowOff>
    </xdr:from>
    <xdr:ext cx="777240" cy="406537"/>
    <xdr:sp macro="" textlink="$AA$23">
      <xdr:nvSpPr>
        <xdr:cNvPr id="92" name="TextBox 91">
          <a:extLst>
            <a:ext uri="{FF2B5EF4-FFF2-40B4-BE49-F238E27FC236}">
              <a16:creationId xmlns:a16="http://schemas.microsoft.com/office/drawing/2014/main" id="{740BAC80-3B47-4709-A3C4-98A87E3E5DE4}"/>
            </a:ext>
          </a:extLst>
        </xdr:cNvPr>
        <xdr:cNvSpPr txBox="1"/>
      </xdr:nvSpPr>
      <xdr:spPr>
        <a:xfrm>
          <a:off x="4244340" y="3810000"/>
          <a:ext cx="77724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8A3DB214-4797-4DE9-8E33-8B0688C365C0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32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  <xdr:oneCellAnchor>
    <xdr:from>
      <xdr:col>9</xdr:col>
      <xdr:colOff>38100</xdr:colOff>
      <xdr:row>17</xdr:row>
      <xdr:rowOff>167640</xdr:rowOff>
    </xdr:from>
    <xdr:ext cx="807720" cy="5181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E303299F-146D-4C30-BD2D-08C1F8F40757}"/>
            </a:ext>
          </a:extLst>
        </xdr:cNvPr>
        <xdr:cNvSpPr txBox="1"/>
      </xdr:nvSpPr>
      <xdr:spPr>
        <a:xfrm>
          <a:off x="5082540" y="3276600"/>
          <a:ext cx="807720" cy="5181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Leavers &lt; 3 Years</a:t>
          </a:r>
        </a:p>
      </xdr:txBody>
    </xdr:sp>
    <xdr:clientData/>
  </xdr:oneCellAnchor>
  <xdr:oneCellAnchor>
    <xdr:from>
      <xdr:col>9</xdr:col>
      <xdr:colOff>15240</xdr:colOff>
      <xdr:row>20</xdr:row>
      <xdr:rowOff>160020</xdr:rowOff>
    </xdr:from>
    <xdr:ext cx="777240" cy="406537"/>
    <xdr:sp macro="" textlink="$Z$23">
      <xdr:nvSpPr>
        <xdr:cNvPr id="94" name="TextBox 93">
          <a:extLst>
            <a:ext uri="{FF2B5EF4-FFF2-40B4-BE49-F238E27FC236}">
              <a16:creationId xmlns:a16="http://schemas.microsoft.com/office/drawing/2014/main" id="{F1E61DCB-E9DC-4F63-9257-D053CEDCE07B}"/>
            </a:ext>
          </a:extLst>
        </xdr:cNvPr>
        <xdr:cNvSpPr txBox="1"/>
      </xdr:nvSpPr>
      <xdr:spPr>
        <a:xfrm>
          <a:off x="5059680" y="3817620"/>
          <a:ext cx="777240" cy="40653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indent="0" algn="ctr"/>
          <a:fld id="{21C4ED3E-A5E1-4BF2-ABF0-7E48BB4FF2C6}" type="TxLink">
            <a:rPr lang="en-US" sz="1600" b="0" i="0" u="none" strike="noStrike">
              <a:solidFill>
                <a:srgbClr val="006666"/>
              </a:solidFill>
              <a:latin typeface="Agency FB" panose="020B0503020202020204" pitchFamily="34" charset="0"/>
              <a:ea typeface="+mn-ea"/>
              <a:cs typeface="Calibri"/>
            </a:rPr>
            <a:pPr marL="0" indent="0" algn="ctr"/>
            <a:t>3</a:t>
          </a:fld>
          <a:endParaRPr lang="en-US" sz="1600" b="0" i="0" u="none" strike="noStrike">
            <a:solidFill>
              <a:srgbClr val="006666"/>
            </a:solidFill>
            <a:latin typeface="Agency FB" panose="020B0503020202020204" pitchFamily="34" charset="0"/>
            <a:ea typeface="+mn-ea"/>
            <a:cs typeface="Calibri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813DD7-949C-4B1A-87DE-7BDEB132E0E9}" name="MainData" displayName="MainData" ref="B2:AI15" totalsRowCount="1" headerRowDxfId="69" dataDxfId="68">
  <autoFilter ref="B2:AI14" xr:uid="{0CE2AEC7-3676-4109-8EBA-2372B922625A}"/>
  <tableColumns count="34">
    <tableColumn id="1" xr3:uid="{4449374C-58C2-41BA-97D5-8ECAEA0F0421}" name="Month" dataDxfId="67" totalsRowDxfId="66"/>
    <tableColumn id="2" xr3:uid="{663FA0B8-237F-4268-9493-B1758B2E9EB7}" name="Saudis" totalsRowFunction="average" dataDxfId="65" totalsRowDxfId="64"/>
    <tableColumn id="3" xr3:uid="{A6FE056C-44D4-4E0F-A338-5A3AC7323B0F}" name="Non-Sauids" totalsRowFunction="average" dataDxfId="63" totalsRowDxfId="62"/>
    <tableColumn id="13" xr3:uid="{986F1DE9-AEF9-421A-A879-656331B5CDB4}" name="# Headcount" totalsRowFunction="average" dataDxfId="61" totalsRowDxfId="60">
      <calculatedColumnFormula>MainData[[#This Row],[Non-Sauids]]+MainData[[#This Row],[Saudis]]</calculatedColumnFormula>
    </tableColumn>
    <tableColumn id="22" xr3:uid="{08F3D614-6B88-4A0F-8295-20CA9896E0A5}" name="% Saudization" totalsRowFunction="average" dataDxfId="59" totalsRowDxfId="58" dataCellStyle="Percent">
      <calculatedColumnFormula>MainData[[#This Row],[Saudis]]/MainData[[#This Row],['# Headcount]]</calculatedColumnFormula>
    </tableColumn>
    <tableColumn id="4" xr3:uid="{3D916D42-BFA0-4467-BD6D-02AD327DEC73}" name="# Sick Leave" totalsRowFunction="custom" dataDxfId="57" totalsRowDxfId="56">
      <totalsRowFormula>SUBTOTAL(109,G3:G14)</totalsRowFormula>
    </tableColumn>
    <tableColumn id="5" xr3:uid="{50155021-46B9-42E8-972D-0D5172F34487}" name="# Hours Late" totalsRowFunction="custom" dataDxfId="55" totalsRowDxfId="54">
      <totalsRowFormula>SUBTOTAL(109,H3:H14)</totalsRowFormula>
    </tableColumn>
    <tableColumn id="6" xr3:uid="{00C59C8A-8F99-4597-BB3F-103C945EB071}" name="# Unpaid Leaves" totalsRowFunction="custom" dataDxfId="53" totalsRowDxfId="52">
      <totalsRowFormula>SUBTOTAL(109,I3:I14)</totalsRowFormula>
    </tableColumn>
    <tableColumn id="7" xr3:uid="{E1077328-ED47-4836-A87B-C500F4B28C94}" name="$ Incentive" totalsRowFunction="custom" dataDxfId="51" totalsRowDxfId="50" dataCellStyle="Comma">
      <totalsRowFormula>SUBTOTAL(109,J3:J14)</totalsRowFormula>
    </tableColumn>
    <tableColumn id="8" xr3:uid="{BAE00E96-432D-4CA4-ADDF-E4A2E9B56815}" name="$ Overtime" totalsRowFunction="custom" dataDxfId="49" totalsRowDxfId="48" dataCellStyle="Comma">
      <totalsRowFormula>SUBTOTAL(109,K3:K14)</totalsRowFormula>
    </tableColumn>
    <tableColumn id="9" xr3:uid="{A549E15F-1926-4F1C-B44E-FA8D3526500F}" name="$ Payroll" totalsRowFunction="custom" dataDxfId="47" totalsRowDxfId="46" dataCellStyle="Comma">
      <totalsRowFormula>SUBTOTAL(109,L3:L14)</totalsRowFormula>
    </tableColumn>
    <tableColumn id="14" xr3:uid="{5E72F29D-850E-4B99-AACC-124DBC230C40}" name="# Leavers" totalsRowFunction="custom" dataDxfId="45" totalsRowDxfId="44">
      <totalsRowFormula>SUBTOTAL(109,M3:M14)</totalsRowFormula>
    </tableColumn>
    <tableColumn id="15" xr3:uid="{C3FE51E2-2306-448E-A043-DBE40647BE95}" name="# Joiners" totalsRowFunction="custom" dataDxfId="43" totalsRowDxfId="42">
      <totalsRowFormula>SUBTOTAL(109,N3:N14)</totalsRowFormula>
    </tableColumn>
    <tableColumn id="16" xr3:uid="{C9DC56FB-CDAF-444D-B2B0-849604E410A0}" name="% Outsource" totalsRowFunction="custom" dataDxfId="41" totalsRowDxfId="40">
      <totalsRowFormula>SUBTOTAL(109,O3:O14)</totalsRowFormula>
    </tableColumn>
    <tableColumn id="17" xr3:uid="{E5D75A60-74E1-415B-9280-DE8CF2AE9BA2}" name="# Part Timers" totalsRowFunction="custom" dataDxfId="39" totalsRowDxfId="38">
      <totalsRowFormula>SUBTOTAL(109,P3:P14)</totalsRowFormula>
    </tableColumn>
    <tableColumn id="19" xr3:uid="{84253E07-4E54-46A0-9B31-3A13C6AB29F0}" name="# Employees Aged &gt;50" totalsRowFunction="custom" dataDxfId="37" totalsRowDxfId="36">
      <totalsRowFormula>SUBTOTAL(109,Q3:Q14)</totalsRowFormula>
    </tableColumn>
    <tableColumn id="21" xr3:uid="{844379C9-4D15-4269-8FA8-5CA8C3C4E304}" name="% Of Females" totalsRowFunction="custom" dataDxfId="35" totalsRowDxfId="34">
      <totalsRowFormula>SUBTOTAL(109,R3:R14)</totalsRowFormula>
    </tableColumn>
    <tableColumn id="23" xr3:uid="{8697EBBC-8DB6-4288-BD8E-245B45EB1449}" name="# Corrective Actions" totalsRowFunction="custom" dataDxfId="33" totalsRowDxfId="32">
      <totalsRowFormula>SUBTOTAL(109,S3:S14)</totalsRowFormula>
    </tableColumn>
    <tableColumn id="25" xr3:uid="{7CCB2FA2-7C88-4BDF-916C-446A7F1982A0}" name="# Contract Termination" totalsRowFunction="custom" dataDxfId="31" totalsRowDxfId="30">
      <totalsRowFormula>SUBTOTAL(109,T3:T14)</totalsRowFormula>
    </tableColumn>
    <tableColumn id="27" xr3:uid="{4E00315D-170F-4003-9658-46F810CCAB5E}" name="# Probation Period Termination" totalsRowFunction="custom" dataDxfId="29" totalsRowDxfId="28">
      <totalsRowFormula>SUBTOTAL(109,U3:U14)</totalsRowFormula>
    </tableColumn>
    <tableColumn id="33" xr3:uid="{20312AA2-B6A4-4EFB-8CC4-67947FA6CF17}" name="# Leavers With Service Less Than 3 Years" totalsRowFunction="custom" dataDxfId="27" totalsRowDxfId="26">
      <totalsRowFormula>SUBTOTAL(109,V3:V14)</totalsRowFormula>
    </tableColumn>
    <tableColumn id="34" xr3:uid="{243C657D-E615-41A6-BB9B-4D0DBE28B3E2}" name="% Turnover" totalsRowFunction="custom" dataDxfId="25" totalsRowDxfId="24" dataCellStyle="Percent">
      <totalsRowFormula>SUBTOTAL(109,W3:W14)</totalsRowFormula>
    </tableColumn>
    <tableColumn id="35" xr3:uid="{2AA909ED-4DD0-4DE6-BD8A-52B42EC56F8E}" name="# Retried Employees" totalsRowFunction="custom" dataDxfId="23" totalsRowDxfId="22">
      <totalsRowFormula>SUBTOTAL(109,X3:X14)</totalsRowFormula>
    </tableColumn>
    <tableColumn id="36" xr3:uid="{BD0C044F-C8D0-494B-B393-7E55D644C868}" name="Avg Age" totalsRowFunction="custom" dataDxfId="21" totalsRowDxfId="20">
      <totalsRowFormula>SUBTOTAL(109,Y3:Y14)</totalsRowFormula>
    </tableColumn>
    <tableColumn id="37" xr3:uid="{E7E7793C-BCCB-45DB-8FDC-8A3E958E28C3}" name="% Hr Expenses Vs Budget" totalsRowFunction="custom" dataDxfId="19" totalsRowDxfId="18" dataCellStyle="Percent">
      <totalsRowFormula>SUBTOTAL(109,Z3:Z14)</totalsRowFormula>
    </tableColumn>
    <tableColumn id="38" xr3:uid="{77B253F5-1094-4F0F-87D5-C92F31C3EB75}" name="# Training Hours" totalsRowFunction="custom" dataDxfId="17" totalsRowDxfId="16">
      <totalsRowFormula>SUBTOTAL(109,AA3:AA14)</totalsRowFormula>
    </tableColumn>
    <tableColumn id="46" xr3:uid="{14EA967B-17E3-44F8-9279-7E66E874FEC8}" name="# Trained Employees" totalsRowFunction="custom" dataDxfId="15" totalsRowDxfId="14">
      <totalsRowFormula>SUBTOTAL(109,AB3:AB14)</totalsRowFormula>
    </tableColumn>
    <tableColumn id="40" xr3:uid="{E724B681-FFD2-4641-9C23-D005A944CFA5}" name="# HR Headcount" totalsRowFunction="custom" dataDxfId="13" totalsRowDxfId="12">
      <totalsRowFormula>SUBTOTAL(109,AC3:AC14)</totalsRowFormula>
    </tableColumn>
    <tableColumn id="41" xr3:uid="{BC5D7A03-A60F-44A8-A812-1D0DC702CD2E}" name="% Automated Processes" totalsRowFunction="average" dataDxfId="11" totalsRowDxfId="10" dataCellStyle="Percent"/>
    <tableColumn id="43" xr3:uid="{CB376F50-7B88-4082-99CC-E4F3BB1A44A4}" name="% High Performers" totalsRowFunction="average" dataDxfId="9" totalsRowDxfId="8" dataCellStyle="Percent"/>
    <tableColumn id="44" xr3:uid="{E579433E-A70F-4A3A-B85F-B4D655C33060}" name="% Low Performers" totalsRowFunction="average" dataDxfId="7" totalsRowDxfId="6" dataCellStyle="Percent"/>
    <tableColumn id="49" xr3:uid="{BA4BB665-01AF-4433-AB3D-3A2F6785EF9C}" name="% Training Effectiveness Index" totalsRowFunction="average" dataDxfId="5" totalsRowDxfId="4" dataCellStyle="Percent"/>
    <tableColumn id="51" xr3:uid="{8A8619C4-2494-488C-96E3-9E4555225AE7}" name="% Training Plan Achieved'" totalsRowFunction="custom" dataDxfId="3" totalsRowDxfId="2" dataCellStyle="Percent">
      <totalsRowFormula>SUBTOTAL(109,AH3:AH14)</totalsRowFormula>
    </tableColumn>
    <tableColumn id="52" xr3:uid="{3F79DF07-91CA-4B49-9E44-79D53ADBBDBE}" name="% Manpower Plan Achieved" totalsRowFunction="custom" dataDxfId="1" totalsRowDxfId="0" dataCellStyle="Percent">
      <totalsRowFormula>SUBTOTAL(109,AI3:AI14)</totalsRow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C597-859F-4903-AF23-259806BD7D64}">
  <dimension ref="B2:AI15"/>
  <sheetViews>
    <sheetView showGridLines="0" zoomScale="80" zoomScaleNormal="80" workbookViewId="0">
      <selection activeCell="B2" sqref="B2:AI2"/>
    </sheetView>
  </sheetViews>
  <sheetFormatPr defaultRowHeight="14.4" x14ac:dyDescent="0.3"/>
  <cols>
    <col min="1" max="1" width="2.6640625" customWidth="1"/>
    <col min="2" max="2" width="10.109375" customWidth="1"/>
    <col min="3" max="9" width="10.6640625" customWidth="1"/>
    <col min="10" max="11" width="12.44140625" bestFit="1" customWidth="1"/>
    <col min="12" max="12" width="12.109375" bestFit="1" customWidth="1"/>
    <col min="14" max="18" width="10.6640625" customWidth="1"/>
    <col min="20" max="20" width="10.6640625" customWidth="1"/>
    <col min="21" max="21" width="13.44140625" bestFit="1" customWidth="1"/>
    <col min="22" max="39" width="10.6640625" customWidth="1"/>
  </cols>
  <sheetData>
    <row r="2" spans="2:35" s="2" customFormat="1" ht="49.8" customHeight="1" x14ac:dyDescent="0.3">
      <c r="B2" s="2" t="s">
        <v>40</v>
      </c>
      <c r="C2" s="2" t="s">
        <v>38</v>
      </c>
      <c r="D2" s="2" t="s">
        <v>39</v>
      </c>
      <c r="E2" s="2" t="s">
        <v>5</v>
      </c>
      <c r="F2" s="2" t="s">
        <v>10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47</v>
      </c>
      <c r="M2" s="2" t="s">
        <v>6</v>
      </c>
      <c r="N2" s="2" t="s">
        <v>7</v>
      </c>
      <c r="O2" s="2" t="s">
        <v>41</v>
      </c>
      <c r="P2" s="2" t="s">
        <v>42</v>
      </c>
      <c r="Q2" s="2" t="s">
        <v>8</v>
      </c>
      <c r="R2" s="2" t="s">
        <v>9</v>
      </c>
      <c r="S2" s="2" t="s">
        <v>43</v>
      </c>
      <c r="T2" s="2" t="s">
        <v>11</v>
      </c>
      <c r="U2" s="2" t="s">
        <v>12</v>
      </c>
      <c r="V2" s="2" t="s">
        <v>14</v>
      </c>
      <c r="W2" s="2" t="s">
        <v>15</v>
      </c>
      <c r="X2" s="2" t="s">
        <v>16</v>
      </c>
      <c r="Y2" s="2" t="s">
        <v>17</v>
      </c>
      <c r="Z2" s="2" t="s">
        <v>18</v>
      </c>
      <c r="AA2" s="2" t="s">
        <v>19</v>
      </c>
      <c r="AB2" s="2" t="s">
        <v>22</v>
      </c>
      <c r="AC2" s="2" t="s">
        <v>44</v>
      </c>
      <c r="AD2" s="2" t="s">
        <v>45</v>
      </c>
      <c r="AE2" s="2" t="s">
        <v>20</v>
      </c>
      <c r="AF2" s="2" t="s">
        <v>21</v>
      </c>
      <c r="AG2" s="2" t="s">
        <v>23</v>
      </c>
      <c r="AH2" s="2" t="s">
        <v>24</v>
      </c>
      <c r="AI2" s="2" t="s">
        <v>25</v>
      </c>
    </row>
    <row r="3" spans="2:35" s="2" customFormat="1" ht="29.4" customHeight="1" x14ac:dyDescent="0.3">
      <c r="B3" s="3" t="s">
        <v>26</v>
      </c>
      <c r="C3" s="7">
        <v>1000</v>
      </c>
      <c r="D3" s="7">
        <v>2700</v>
      </c>
      <c r="E3" s="7">
        <f>MainData[[#This Row],[Non-Sauids]]+MainData[[#This Row],[Saudis]]</f>
        <v>3700</v>
      </c>
      <c r="F3" s="8">
        <f>MainData[[#This Row],[Saudis]]/MainData[[#This Row],['# Headcount]]</f>
        <v>0.27027027027027029</v>
      </c>
      <c r="G3" s="3">
        <v>33</v>
      </c>
      <c r="H3" s="3">
        <v>33</v>
      </c>
      <c r="I3" s="3">
        <v>120</v>
      </c>
      <c r="J3" s="12">
        <v>887209</v>
      </c>
      <c r="K3" s="12">
        <v>150000</v>
      </c>
      <c r="L3" s="12">
        <v>12009400</v>
      </c>
      <c r="M3" s="3">
        <v>22</v>
      </c>
      <c r="N3" s="3">
        <v>10</v>
      </c>
      <c r="O3" s="3">
        <v>40</v>
      </c>
      <c r="P3" s="3">
        <v>50</v>
      </c>
      <c r="Q3" s="3">
        <v>50</v>
      </c>
      <c r="R3" s="3">
        <v>300</v>
      </c>
      <c r="S3" s="3">
        <v>100</v>
      </c>
      <c r="T3" s="3">
        <v>10</v>
      </c>
      <c r="U3" s="3">
        <v>12</v>
      </c>
      <c r="V3" s="3">
        <v>3</v>
      </c>
      <c r="W3" s="15">
        <v>0.12</v>
      </c>
      <c r="X3" s="3">
        <v>1</v>
      </c>
      <c r="Y3" s="3">
        <v>32</v>
      </c>
      <c r="Z3" s="8">
        <v>0.8</v>
      </c>
      <c r="AA3" s="3">
        <v>120</v>
      </c>
      <c r="AB3" s="3">
        <v>45</v>
      </c>
      <c r="AC3" s="3">
        <v>320</v>
      </c>
      <c r="AD3" s="8">
        <v>0.18</v>
      </c>
      <c r="AE3" s="8">
        <v>0.1</v>
      </c>
      <c r="AF3" s="8">
        <v>0.22</v>
      </c>
      <c r="AG3" s="8">
        <v>0.8</v>
      </c>
      <c r="AH3" s="8">
        <v>0.7</v>
      </c>
      <c r="AI3" s="8">
        <v>0.22</v>
      </c>
    </row>
    <row r="4" spans="2:35" s="2" customFormat="1" ht="29.4" customHeight="1" x14ac:dyDescent="0.3">
      <c r="B4" s="3" t="s">
        <v>27</v>
      </c>
      <c r="C4" s="7">
        <v>1100</v>
      </c>
      <c r="D4" s="7">
        <v>2800</v>
      </c>
      <c r="E4" s="7">
        <f>MainData[[#This Row],[Non-Sauids]]+MainData[[#This Row],[Saudis]]</f>
        <v>3900</v>
      </c>
      <c r="F4" s="8">
        <f>MainData[[#This Row],[Saudis]]/MainData[[#This Row],['# Headcount]]</f>
        <v>0.28205128205128205</v>
      </c>
      <c r="G4" s="3">
        <v>12</v>
      </c>
      <c r="H4" s="3">
        <v>50</v>
      </c>
      <c r="I4" s="3">
        <v>300</v>
      </c>
      <c r="J4" s="12">
        <v>665840</v>
      </c>
      <c r="K4" s="12">
        <v>550403</v>
      </c>
      <c r="L4" s="12">
        <v>13004030</v>
      </c>
      <c r="M4" s="3">
        <v>14</v>
      </c>
      <c r="N4" s="3">
        <v>30</v>
      </c>
      <c r="O4" s="3">
        <v>150</v>
      </c>
      <c r="P4" s="3">
        <v>55</v>
      </c>
      <c r="Q4" s="3">
        <v>40</v>
      </c>
      <c r="R4" s="3">
        <v>250</v>
      </c>
      <c r="S4" s="3">
        <v>90</v>
      </c>
      <c r="T4" s="3">
        <v>2</v>
      </c>
      <c r="U4" s="3">
        <v>5</v>
      </c>
      <c r="V4" s="3">
        <v>12</v>
      </c>
      <c r="W4" s="15">
        <v>0.123</v>
      </c>
      <c r="X4" s="3">
        <v>1</v>
      </c>
      <c r="Y4" s="3">
        <v>33</v>
      </c>
      <c r="Z4" s="8">
        <v>0.7</v>
      </c>
      <c r="AA4" s="3">
        <v>100</v>
      </c>
      <c r="AB4" s="3">
        <v>40</v>
      </c>
      <c r="AC4" s="3">
        <v>320</v>
      </c>
      <c r="AD4" s="8">
        <v>0.33</v>
      </c>
      <c r="AE4" s="8">
        <v>0.1</v>
      </c>
      <c r="AF4" s="8">
        <v>0.19</v>
      </c>
      <c r="AG4" s="8">
        <v>0.85</v>
      </c>
      <c r="AH4" s="8">
        <v>0.55000000000000004</v>
      </c>
      <c r="AI4" s="8">
        <v>0.5</v>
      </c>
    </row>
    <row r="5" spans="2:35" s="2" customFormat="1" ht="29.4" customHeight="1" x14ac:dyDescent="0.3">
      <c r="B5" s="3" t="s">
        <v>28</v>
      </c>
      <c r="C5" s="7">
        <v>1101</v>
      </c>
      <c r="D5" s="7">
        <v>2900</v>
      </c>
      <c r="E5" s="7">
        <f>MainData[[#This Row],[Non-Sauids]]+MainData[[#This Row],[Saudis]]</f>
        <v>4001</v>
      </c>
      <c r="F5" s="8">
        <f>MainData[[#This Row],[Saudis]]/MainData[[#This Row],['# Headcount]]</f>
        <v>0.27518120469882529</v>
      </c>
      <c r="G5" s="3">
        <v>2</v>
      </c>
      <c r="H5" s="3">
        <v>120</v>
      </c>
      <c r="I5" s="3">
        <v>450</v>
      </c>
      <c r="J5" s="12">
        <v>398485</v>
      </c>
      <c r="K5" s="12">
        <v>1223002</v>
      </c>
      <c r="L5" s="12">
        <v>12902030</v>
      </c>
      <c r="M5" s="3">
        <v>29</v>
      </c>
      <c r="N5" s="3">
        <v>4</v>
      </c>
      <c r="O5" s="3">
        <v>160</v>
      </c>
      <c r="P5" s="3">
        <v>60</v>
      </c>
      <c r="Q5" s="3">
        <v>30</v>
      </c>
      <c r="R5" s="3">
        <v>100</v>
      </c>
      <c r="S5" s="3">
        <v>30</v>
      </c>
      <c r="T5" s="3">
        <v>1</v>
      </c>
      <c r="U5" s="3">
        <v>2</v>
      </c>
      <c r="V5" s="3">
        <v>33</v>
      </c>
      <c r="W5" s="15">
        <v>0.13</v>
      </c>
      <c r="X5" s="3">
        <v>22</v>
      </c>
      <c r="Y5" s="3">
        <v>34</v>
      </c>
      <c r="Z5" s="8">
        <v>0.55000000000000004</v>
      </c>
      <c r="AA5" s="3">
        <v>92</v>
      </c>
      <c r="AB5" s="3">
        <v>19</v>
      </c>
      <c r="AC5" s="3">
        <v>290</v>
      </c>
      <c r="AD5" s="8">
        <v>0.45</v>
      </c>
      <c r="AE5" s="8">
        <v>0.12</v>
      </c>
      <c r="AF5" s="8">
        <v>0.15</v>
      </c>
      <c r="AG5" s="8">
        <v>0.7</v>
      </c>
      <c r="AH5" s="8">
        <v>0.4</v>
      </c>
      <c r="AI5" s="8">
        <v>0.6</v>
      </c>
    </row>
    <row r="6" spans="2:35" s="2" customFormat="1" ht="29.4" customHeight="1" x14ac:dyDescent="0.3">
      <c r="B6" s="3" t="s">
        <v>29</v>
      </c>
      <c r="C6" s="7">
        <v>900</v>
      </c>
      <c r="D6" s="7">
        <v>3000</v>
      </c>
      <c r="E6" s="7">
        <f>MainData[[#This Row],[Non-Sauids]]+MainData[[#This Row],[Saudis]]</f>
        <v>3900</v>
      </c>
      <c r="F6" s="8">
        <f>MainData[[#This Row],[Saudis]]/MainData[[#This Row],['# Headcount]]</f>
        <v>0.23076923076923078</v>
      </c>
      <c r="G6" s="3">
        <v>11</v>
      </c>
      <c r="H6" s="3">
        <v>70</v>
      </c>
      <c r="I6" s="3">
        <v>100</v>
      </c>
      <c r="J6" s="12">
        <v>150003</v>
      </c>
      <c r="K6" s="12">
        <v>900540</v>
      </c>
      <c r="L6" s="12">
        <f>L5+12990</f>
        <v>12915020</v>
      </c>
      <c r="M6" s="3">
        <v>30</v>
      </c>
      <c r="N6" s="3">
        <v>50</v>
      </c>
      <c r="O6" s="3">
        <v>30</v>
      </c>
      <c r="P6" s="3">
        <v>40</v>
      </c>
      <c r="Q6" s="3">
        <v>10</v>
      </c>
      <c r="R6" s="3">
        <v>150</v>
      </c>
      <c r="S6" s="3">
        <v>11</v>
      </c>
      <c r="T6" s="3">
        <v>0</v>
      </c>
      <c r="U6" s="3">
        <v>2</v>
      </c>
      <c r="V6" s="3">
        <v>2</v>
      </c>
      <c r="W6" s="15">
        <v>0.14000000000000001</v>
      </c>
      <c r="X6" s="3">
        <v>12</v>
      </c>
      <c r="Y6" s="3">
        <v>40</v>
      </c>
      <c r="Z6" s="8">
        <v>0.9</v>
      </c>
      <c r="AA6" s="3">
        <v>76</v>
      </c>
      <c r="AB6" s="3">
        <v>5</v>
      </c>
      <c r="AC6" s="3">
        <v>290</v>
      </c>
      <c r="AD6" s="8">
        <v>0.6</v>
      </c>
      <c r="AE6" s="8">
        <v>0.11</v>
      </c>
      <c r="AF6" s="8">
        <v>0.12</v>
      </c>
      <c r="AG6" s="8">
        <v>0.74</v>
      </c>
      <c r="AH6" s="8">
        <v>0.8</v>
      </c>
      <c r="AI6" s="8">
        <v>0.9</v>
      </c>
    </row>
    <row r="7" spans="2:35" s="2" customFormat="1" ht="29.4" customHeight="1" x14ac:dyDescent="0.3">
      <c r="B7" s="3" t="s">
        <v>30</v>
      </c>
      <c r="C7" s="7">
        <v>1110</v>
      </c>
      <c r="D7" s="7">
        <v>2700</v>
      </c>
      <c r="E7" s="7">
        <f>MainData[[#This Row],[Non-Sauids]]+MainData[[#This Row],[Saudis]]</f>
        <v>3810</v>
      </c>
      <c r="F7" s="8">
        <f>MainData[[#This Row],[Saudis]]/MainData[[#This Row],['# Headcount]]</f>
        <v>0.29133858267716534</v>
      </c>
      <c r="G7" s="3">
        <v>14</v>
      </c>
      <c r="H7" s="3">
        <v>26</v>
      </c>
      <c r="I7" s="3">
        <v>11</v>
      </c>
      <c r="J7" s="12">
        <v>433779</v>
      </c>
      <c r="K7" s="12">
        <v>248723</v>
      </c>
      <c r="L7" s="12">
        <v>13669607</v>
      </c>
      <c r="M7" s="3">
        <v>233</v>
      </c>
      <c r="N7" s="3">
        <v>107</v>
      </c>
      <c r="O7" s="3">
        <v>158</v>
      </c>
      <c r="P7" s="3">
        <v>197</v>
      </c>
      <c r="Q7" s="3">
        <v>80</v>
      </c>
      <c r="R7" s="3">
        <v>167</v>
      </c>
      <c r="S7" s="3">
        <v>76</v>
      </c>
      <c r="T7" s="3">
        <v>61</v>
      </c>
      <c r="U7" s="3">
        <v>58</v>
      </c>
      <c r="V7" s="3">
        <v>166</v>
      </c>
      <c r="W7" s="15">
        <v>0.12</v>
      </c>
      <c r="X7" s="3">
        <v>16</v>
      </c>
      <c r="Y7" s="3">
        <v>41</v>
      </c>
      <c r="Z7" s="8">
        <v>0.6</v>
      </c>
      <c r="AA7" s="3">
        <v>84</v>
      </c>
      <c r="AB7" s="3">
        <v>75</v>
      </c>
      <c r="AC7" s="3">
        <v>281</v>
      </c>
      <c r="AD7" s="8">
        <v>0.6</v>
      </c>
      <c r="AE7" s="8">
        <v>0.12</v>
      </c>
      <c r="AF7" s="8">
        <v>0.12</v>
      </c>
      <c r="AG7" s="8">
        <v>0.7</v>
      </c>
      <c r="AH7" s="8">
        <v>0.89</v>
      </c>
      <c r="AI7" s="8">
        <v>0.9</v>
      </c>
    </row>
    <row r="8" spans="2:35" s="2" customFormat="1" ht="29.4" customHeight="1" x14ac:dyDescent="0.3">
      <c r="B8" s="3" t="s">
        <v>31</v>
      </c>
      <c r="C8" s="7">
        <v>1000</v>
      </c>
      <c r="D8" s="7">
        <v>2713</v>
      </c>
      <c r="E8" s="7">
        <f>MainData[[#This Row],[Non-Sauids]]+MainData[[#This Row],[Saudis]]</f>
        <v>3713</v>
      </c>
      <c r="F8" s="8">
        <f>MainData[[#This Row],[Saudis]]/MainData[[#This Row],['# Headcount]]</f>
        <v>0.26932399676811203</v>
      </c>
      <c r="G8" s="3">
        <v>33</v>
      </c>
      <c r="H8" s="3">
        <v>94</v>
      </c>
      <c r="I8" s="3">
        <v>75</v>
      </c>
      <c r="J8" s="12">
        <v>516453</v>
      </c>
      <c r="K8" s="12">
        <v>207989</v>
      </c>
      <c r="L8" s="12">
        <v>14397345</v>
      </c>
      <c r="M8" s="3">
        <v>164</v>
      </c>
      <c r="N8" s="3">
        <v>232</v>
      </c>
      <c r="O8" s="3">
        <v>235</v>
      </c>
      <c r="P8" s="3">
        <v>59</v>
      </c>
      <c r="Q8" s="3">
        <v>80</v>
      </c>
      <c r="R8" s="3">
        <v>59</v>
      </c>
      <c r="S8" s="3">
        <v>288</v>
      </c>
      <c r="T8" s="3">
        <v>153</v>
      </c>
      <c r="U8" s="3">
        <v>186</v>
      </c>
      <c r="V8" s="3">
        <v>163</v>
      </c>
      <c r="W8" s="15">
        <v>0.13</v>
      </c>
      <c r="X8" s="3">
        <v>9</v>
      </c>
      <c r="Y8" s="3">
        <v>39</v>
      </c>
      <c r="Z8" s="8">
        <v>0.7</v>
      </c>
      <c r="AA8" s="3">
        <v>85</v>
      </c>
      <c r="AB8" s="3">
        <v>58</v>
      </c>
      <c r="AC8" s="3">
        <v>337</v>
      </c>
      <c r="AD8" s="8">
        <v>0.66</v>
      </c>
      <c r="AE8" s="8">
        <v>0.19</v>
      </c>
      <c r="AF8" s="8">
        <v>0.12</v>
      </c>
      <c r="AG8" s="8">
        <v>0.7</v>
      </c>
      <c r="AH8" s="8">
        <v>0.6</v>
      </c>
      <c r="AI8" s="8">
        <v>0.87</v>
      </c>
    </row>
    <row r="9" spans="2:35" s="2" customFormat="1" ht="29.4" customHeight="1" x14ac:dyDescent="0.3">
      <c r="B9" s="3" t="s">
        <v>32</v>
      </c>
      <c r="C9" s="7">
        <v>1009</v>
      </c>
      <c r="D9" s="7">
        <v>2710</v>
      </c>
      <c r="E9" s="7">
        <f>MainData[[#This Row],[Non-Sauids]]+MainData[[#This Row],[Saudis]]</f>
        <v>3719</v>
      </c>
      <c r="F9" s="8">
        <f>MainData[[#This Row],[Saudis]]/MainData[[#This Row],['# Headcount]]</f>
        <v>0.27130949179887065</v>
      </c>
      <c r="G9" s="3">
        <v>98</v>
      </c>
      <c r="H9" s="3">
        <v>66</v>
      </c>
      <c r="I9" s="3">
        <v>35</v>
      </c>
      <c r="J9" s="12">
        <v>789394</v>
      </c>
      <c r="K9" s="12">
        <v>245972</v>
      </c>
      <c r="L9" s="12">
        <v>10881281</v>
      </c>
      <c r="M9" s="3">
        <v>278</v>
      </c>
      <c r="N9" s="3">
        <v>99</v>
      </c>
      <c r="O9" s="3">
        <v>168</v>
      </c>
      <c r="P9" s="3">
        <v>30</v>
      </c>
      <c r="Q9" s="3">
        <v>67</v>
      </c>
      <c r="R9" s="3">
        <v>201</v>
      </c>
      <c r="S9" s="3">
        <v>180</v>
      </c>
      <c r="T9" s="3">
        <v>30</v>
      </c>
      <c r="U9" s="3">
        <v>54</v>
      </c>
      <c r="V9" s="3">
        <v>154</v>
      </c>
      <c r="W9" s="15">
        <v>0.19</v>
      </c>
      <c r="X9" s="3">
        <v>6</v>
      </c>
      <c r="Y9" s="3">
        <v>35</v>
      </c>
      <c r="Z9" s="8">
        <v>0.7</v>
      </c>
      <c r="AA9" s="3">
        <v>114</v>
      </c>
      <c r="AB9" s="3">
        <v>73</v>
      </c>
      <c r="AC9" s="3">
        <v>345</v>
      </c>
      <c r="AD9" s="8">
        <v>0.7</v>
      </c>
      <c r="AE9" s="8">
        <v>0.1</v>
      </c>
      <c r="AF9" s="8">
        <v>0.12</v>
      </c>
      <c r="AG9" s="8">
        <v>0.8</v>
      </c>
      <c r="AH9" s="8">
        <v>0.5</v>
      </c>
      <c r="AI9" s="8">
        <v>0.87</v>
      </c>
    </row>
    <row r="10" spans="2:35" s="2" customFormat="1" ht="29.4" customHeight="1" x14ac:dyDescent="0.3">
      <c r="B10" s="3" t="s">
        <v>33</v>
      </c>
      <c r="C10" s="7">
        <v>1003</v>
      </c>
      <c r="D10" s="7">
        <v>2600</v>
      </c>
      <c r="E10" s="7">
        <f>MainData[[#This Row],[Non-Sauids]]+MainData[[#This Row],[Saudis]]</f>
        <v>3603</v>
      </c>
      <c r="F10" s="8">
        <f>MainData[[#This Row],[Saudis]]/MainData[[#This Row],['# Headcount]]</f>
        <v>0.27837912850402441</v>
      </c>
      <c r="G10" s="3">
        <v>80</v>
      </c>
      <c r="H10" s="3">
        <v>46</v>
      </c>
      <c r="I10" s="3">
        <v>71</v>
      </c>
      <c r="J10" s="12">
        <v>407225</v>
      </c>
      <c r="K10" s="12">
        <v>798950</v>
      </c>
      <c r="L10" s="12">
        <v>12046951</v>
      </c>
      <c r="M10" s="3">
        <v>101</v>
      </c>
      <c r="N10" s="3">
        <v>70</v>
      </c>
      <c r="O10" s="3">
        <v>165</v>
      </c>
      <c r="P10" s="3">
        <v>166</v>
      </c>
      <c r="Q10" s="3">
        <v>56</v>
      </c>
      <c r="R10" s="3">
        <v>213</v>
      </c>
      <c r="S10" s="3">
        <v>260</v>
      </c>
      <c r="T10" s="3">
        <v>32</v>
      </c>
      <c r="U10" s="3">
        <v>278</v>
      </c>
      <c r="V10" s="3">
        <v>214</v>
      </c>
      <c r="W10" s="15">
        <v>0.18</v>
      </c>
      <c r="X10" s="3">
        <v>10</v>
      </c>
      <c r="Y10" s="3">
        <v>32</v>
      </c>
      <c r="Z10" s="8">
        <v>0.4</v>
      </c>
      <c r="AA10" s="3">
        <v>51</v>
      </c>
      <c r="AB10" s="3">
        <v>158</v>
      </c>
      <c r="AC10" s="3">
        <v>308</v>
      </c>
      <c r="AD10" s="8">
        <v>0.71</v>
      </c>
      <c r="AE10" s="8">
        <v>0.04</v>
      </c>
      <c r="AF10" s="8">
        <v>0.19</v>
      </c>
      <c r="AG10" s="8">
        <v>0.76</v>
      </c>
      <c r="AH10" s="8">
        <v>0.97</v>
      </c>
      <c r="AI10" s="8">
        <v>0.89</v>
      </c>
    </row>
    <row r="11" spans="2:35" s="2" customFormat="1" ht="29.4" customHeight="1" x14ac:dyDescent="0.3">
      <c r="B11" s="3" t="s">
        <v>34</v>
      </c>
      <c r="C11" s="7">
        <v>980</v>
      </c>
      <c r="D11" s="7">
        <v>2500</v>
      </c>
      <c r="E11" s="7">
        <f>MainData[[#This Row],[Non-Sauids]]+MainData[[#This Row],[Saudis]]</f>
        <v>3480</v>
      </c>
      <c r="F11" s="8">
        <f>MainData[[#This Row],[Saudis]]/MainData[[#This Row],['# Headcount]]</f>
        <v>0.28160919540229884</v>
      </c>
      <c r="G11" s="3">
        <v>60</v>
      </c>
      <c r="H11" s="3">
        <v>67</v>
      </c>
      <c r="I11" s="3">
        <v>55</v>
      </c>
      <c r="J11" s="12">
        <v>281429</v>
      </c>
      <c r="K11" s="12">
        <v>450543</v>
      </c>
      <c r="L11" s="12">
        <v>13066105</v>
      </c>
      <c r="M11" s="3">
        <v>183</v>
      </c>
      <c r="N11" s="3">
        <v>174</v>
      </c>
      <c r="O11" s="3">
        <v>83</v>
      </c>
      <c r="P11" s="3">
        <v>152</v>
      </c>
      <c r="Q11" s="3">
        <v>243</v>
      </c>
      <c r="R11" s="3">
        <v>95</v>
      </c>
      <c r="S11" s="3">
        <v>125</v>
      </c>
      <c r="T11" s="3">
        <v>236</v>
      </c>
      <c r="U11" s="3">
        <v>235</v>
      </c>
      <c r="V11" s="3">
        <v>145</v>
      </c>
      <c r="W11" s="15">
        <v>0.16</v>
      </c>
      <c r="X11" s="3">
        <v>9</v>
      </c>
      <c r="Y11" s="3">
        <v>30</v>
      </c>
      <c r="Z11" s="8">
        <v>0.2</v>
      </c>
      <c r="AA11" s="3">
        <v>160</v>
      </c>
      <c r="AB11" s="3">
        <v>127</v>
      </c>
      <c r="AC11" s="3">
        <v>307</v>
      </c>
      <c r="AD11" s="8">
        <v>0.71</v>
      </c>
      <c r="AE11" s="8">
        <v>0.08</v>
      </c>
      <c r="AF11" s="8">
        <v>0.2</v>
      </c>
      <c r="AG11" s="8">
        <v>0.54</v>
      </c>
      <c r="AH11" s="8">
        <v>0.76</v>
      </c>
      <c r="AI11" s="8">
        <v>0.87</v>
      </c>
    </row>
    <row r="12" spans="2:35" s="2" customFormat="1" ht="29.4" customHeight="1" x14ac:dyDescent="0.3">
      <c r="B12" s="3" t="s">
        <v>35</v>
      </c>
      <c r="C12" s="7">
        <v>930</v>
      </c>
      <c r="D12" s="7">
        <v>2400</v>
      </c>
      <c r="E12" s="7">
        <f>MainData[[#This Row],[Non-Sauids]]+MainData[[#This Row],[Saudis]]</f>
        <v>3330</v>
      </c>
      <c r="F12" s="8">
        <f>MainData[[#This Row],[Saudis]]/MainData[[#This Row],['# Headcount]]</f>
        <v>0.27927927927927926</v>
      </c>
      <c r="G12" s="3">
        <v>33</v>
      </c>
      <c r="H12" s="3">
        <v>27</v>
      </c>
      <c r="I12" s="3">
        <v>99</v>
      </c>
      <c r="J12" s="12">
        <v>730379</v>
      </c>
      <c r="K12" s="12">
        <v>330499</v>
      </c>
      <c r="L12" s="12">
        <v>14575876</v>
      </c>
      <c r="M12" s="3">
        <v>151</v>
      </c>
      <c r="N12" s="3">
        <v>62</v>
      </c>
      <c r="O12" s="3">
        <v>40</v>
      </c>
      <c r="P12" s="3">
        <v>274</v>
      </c>
      <c r="Q12" s="3">
        <v>230</v>
      </c>
      <c r="R12" s="3">
        <v>216</v>
      </c>
      <c r="S12" s="3">
        <v>237</v>
      </c>
      <c r="T12" s="3">
        <v>46</v>
      </c>
      <c r="U12" s="3">
        <v>283</v>
      </c>
      <c r="V12" s="3">
        <v>159</v>
      </c>
      <c r="W12" s="15">
        <v>0.15</v>
      </c>
      <c r="X12" s="3">
        <v>15</v>
      </c>
      <c r="Y12" s="3">
        <v>30</v>
      </c>
      <c r="Z12" s="8">
        <v>0.9</v>
      </c>
      <c r="AA12" s="3">
        <v>106</v>
      </c>
      <c r="AB12" s="3">
        <v>53</v>
      </c>
      <c r="AC12" s="3">
        <v>309</v>
      </c>
      <c r="AD12" s="8">
        <v>0.72</v>
      </c>
      <c r="AE12" s="8">
        <v>0.19</v>
      </c>
      <c r="AF12" s="8">
        <v>0.04</v>
      </c>
      <c r="AG12" s="8">
        <v>0.77</v>
      </c>
      <c r="AH12" s="8">
        <v>0.54</v>
      </c>
      <c r="AI12" s="8">
        <v>0.54</v>
      </c>
    </row>
    <row r="13" spans="2:35" s="2" customFormat="1" ht="29.4" customHeight="1" x14ac:dyDescent="0.3">
      <c r="B13" s="3" t="s">
        <v>36</v>
      </c>
      <c r="C13" s="7">
        <v>870</v>
      </c>
      <c r="D13" s="7">
        <v>2300</v>
      </c>
      <c r="E13" s="7">
        <f>MainData[[#This Row],[Non-Sauids]]+MainData[[#This Row],[Saudis]]</f>
        <v>3170</v>
      </c>
      <c r="F13" s="8">
        <f>MainData[[#This Row],[Saudis]]/MainData[[#This Row],['# Headcount]]</f>
        <v>0.27444794952681389</v>
      </c>
      <c r="G13" s="3">
        <v>28</v>
      </c>
      <c r="H13" s="3">
        <v>26</v>
      </c>
      <c r="I13" s="3">
        <v>77</v>
      </c>
      <c r="J13" s="12">
        <v>117709</v>
      </c>
      <c r="K13" s="12">
        <v>541242</v>
      </c>
      <c r="L13" s="12">
        <v>10588823</v>
      </c>
      <c r="M13" s="3">
        <v>300</v>
      </c>
      <c r="N13" s="3">
        <v>198</v>
      </c>
      <c r="O13" s="3">
        <v>287</v>
      </c>
      <c r="P13" s="3">
        <v>130</v>
      </c>
      <c r="Q13" s="3">
        <v>146</v>
      </c>
      <c r="R13" s="3">
        <v>269</v>
      </c>
      <c r="S13" s="3">
        <v>137</v>
      </c>
      <c r="T13" s="3">
        <v>53</v>
      </c>
      <c r="U13" s="3">
        <v>269</v>
      </c>
      <c r="V13" s="3">
        <v>61</v>
      </c>
      <c r="W13" s="15">
        <v>0.12</v>
      </c>
      <c r="X13" s="3">
        <v>15</v>
      </c>
      <c r="Y13" s="3">
        <v>30</v>
      </c>
      <c r="Z13" s="8">
        <v>1</v>
      </c>
      <c r="AA13" s="3">
        <v>151</v>
      </c>
      <c r="AB13" s="3">
        <v>101</v>
      </c>
      <c r="AC13" s="3">
        <v>311</v>
      </c>
      <c r="AD13" s="8">
        <v>0.8</v>
      </c>
      <c r="AE13" s="8">
        <v>0.2</v>
      </c>
      <c r="AF13" s="8">
        <v>0.05</v>
      </c>
      <c r="AG13" s="8">
        <v>0.76</v>
      </c>
      <c r="AH13" s="8">
        <v>0.67</v>
      </c>
      <c r="AI13" s="8">
        <v>0.78</v>
      </c>
    </row>
    <row r="14" spans="2:35" s="2" customFormat="1" ht="29.4" customHeight="1" x14ac:dyDescent="0.3">
      <c r="B14" s="3" t="s">
        <v>37</v>
      </c>
      <c r="C14" s="7">
        <v>990</v>
      </c>
      <c r="D14" s="7">
        <v>2210</v>
      </c>
      <c r="E14" s="7">
        <f>MainData[[#This Row],[Non-Sauids]]+MainData[[#This Row],[Saudis]]</f>
        <v>3200</v>
      </c>
      <c r="F14" s="8">
        <f>MainData[[#This Row],[Saudis]]/MainData[[#This Row],['# Headcount]]</f>
        <v>0.30937500000000001</v>
      </c>
      <c r="G14" s="3">
        <v>14</v>
      </c>
      <c r="H14" s="3">
        <v>87</v>
      </c>
      <c r="I14" s="3">
        <v>79</v>
      </c>
      <c r="J14" s="12">
        <v>888950</v>
      </c>
      <c r="K14" s="12">
        <v>253079</v>
      </c>
      <c r="L14" s="12">
        <v>14824780</v>
      </c>
      <c r="M14" s="3">
        <v>230</v>
      </c>
      <c r="N14" s="3">
        <v>266</v>
      </c>
      <c r="O14" s="3">
        <v>260</v>
      </c>
      <c r="P14" s="3">
        <v>72</v>
      </c>
      <c r="Q14" s="3">
        <v>73</v>
      </c>
      <c r="R14" s="3">
        <v>283</v>
      </c>
      <c r="S14" s="3">
        <v>217</v>
      </c>
      <c r="T14" s="3">
        <v>15</v>
      </c>
      <c r="U14" s="3">
        <v>102</v>
      </c>
      <c r="V14" s="3">
        <v>100</v>
      </c>
      <c r="W14" s="15">
        <v>0.16</v>
      </c>
      <c r="X14" s="3">
        <v>13</v>
      </c>
      <c r="Y14" s="3">
        <v>30</v>
      </c>
      <c r="Z14" s="8">
        <v>1</v>
      </c>
      <c r="AA14" s="3">
        <v>156</v>
      </c>
      <c r="AB14" s="3">
        <v>191</v>
      </c>
      <c r="AC14" s="3">
        <v>291</v>
      </c>
      <c r="AD14" s="8">
        <v>0.8</v>
      </c>
      <c r="AE14" s="8">
        <v>0.33</v>
      </c>
      <c r="AF14" s="8">
        <v>0.05</v>
      </c>
      <c r="AG14" s="8">
        <v>0.9</v>
      </c>
      <c r="AH14" s="8">
        <v>0.87</v>
      </c>
      <c r="AI14" s="8">
        <v>0.86</v>
      </c>
    </row>
    <row r="15" spans="2:35" ht="15.6" x14ac:dyDescent="0.3">
      <c r="B15" s="3"/>
      <c r="C15" s="7">
        <f>SUBTOTAL(101,MainData[Saudis])</f>
        <v>999.41666666666663</v>
      </c>
      <c r="D15" s="7">
        <f>SUBTOTAL(101,MainData[Non-Sauids])</f>
        <v>2627.75</v>
      </c>
      <c r="E15" s="7">
        <f>SUBTOTAL(101,MainData['# Headcount])</f>
        <v>3627.1666666666665</v>
      </c>
      <c r="F15" s="16">
        <f>SUBTOTAL(101,MainData[% Saudization])</f>
        <v>0.27611121764551444</v>
      </c>
      <c r="G15" s="3">
        <f t="shared" ref="G15:V15" si="0">SUBTOTAL(109,G3:G14)</f>
        <v>418</v>
      </c>
      <c r="H15" s="3">
        <f t="shared" si="0"/>
        <v>712</v>
      </c>
      <c r="I15" s="3">
        <f t="shared" si="0"/>
        <v>1472</v>
      </c>
      <c r="J15" s="3">
        <f t="shared" si="0"/>
        <v>6266855</v>
      </c>
      <c r="K15" s="3">
        <f t="shared" si="0"/>
        <v>5900942</v>
      </c>
      <c r="L15" s="3">
        <f t="shared" si="0"/>
        <v>154881248</v>
      </c>
      <c r="M15" s="3">
        <f t="shared" si="0"/>
        <v>1735</v>
      </c>
      <c r="N15" s="3">
        <f t="shared" si="0"/>
        <v>1302</v>
      </c>
      <c r="O15" s="3">
        <f t="shared" si="0"/>
        <v>1776</v>
      </c>
      <c r="P15" s="3">
        <f t="shared" si="0"/>
        <v>1285</v>
      </c>
      <c r="Q15" s="3">
        <f t="shared" si="0"/>
        <v>1105</v>
      </c>
      <c r="R15" s="3">
        <f t="shared" si="0"/>
        <v>2303</v>
      </c>
      <c r="S15" s="3">
        <f t="shared" si="0"/>
        <v>1751</v>
      </c>
      <c r="T15" s="3">
        <f t="shared" si="0"/>
        <v>639</v>
      </c>
      <c r="U15" s="3">
        <f t="shared" si="0"/>
        <v>1486</v>
      </c>
      <c r="V15" s="3">
        <f t="shared" si="0"/>
        <v>1212</v>
      </c>
      <c r="W15" s="3">
        <f t="shared" ref="W15:AI15" si="1">SUBTOTAL(109,W3:W14)</f>
        <v>1.7229999999999996</v>
      </c>
      <c r="X15" s="3">
        <f t="shared" si="1"/>
        <v>129</v>
      </c>
      <c r="Y15" s="3">
        <f t="shared" si="1"/>
        <v>406</v>
      </c>
      <c r="Z15" s="3">
        <f t="shared" si="1"/>
        <v>8.4500000000000011</v>
      </c>
      <c r="AA15" s="3">
        <f t="shared" si="1"/>
        <v>1295</v>
      </c>
      <c r="AB15" s="3">
        <f>SUBTOTAL(109,AB3:AB14)</f>
        <v>945</v>
      </c>
      <c r="AC15" s="3">
        <f t="shared" si="1"/>
        <v>3709</v>
      </c>
      <c r="AD15" s="16">
        <f>SUBTOTAL(101,MainData[% Automated Processes])</f>
        <v>0.60499999999999998</v>
      </c>
      <c r="AE15" s="16">
        <f>SUBTOTAL(101,MainData[% High Performers])</f>
        <v>0.13999999999999999</v>
      </c>
      <c r="AF15" s="16">
        <f>SUBTOTAL(101,MainData[% Low Performers])</f>
        <v>0.13083333333333333</v>
      </c>
      <c r="AG15" s="16">
        <f>SUBTOTAL(101,MainData[% Training Effectiveness Index])</f>
        <v>0.75166666666666659</v>
      </c>
      <c r="AH15" s="3">
        <f t="shared" si="1"/>
        <v>8.25</v>
      </c>
      <c r="AI15" s="3">
        <f t="shared" si="1"/>
        <v>8.7999999999999989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18A7-0BAC-457D-AAD4-438F5F1F4303}">
  <dimension ref="A1:AF58"/>
  <sheetViews>
    <sheetView tabSelected="1" zoomScaleNormal="100" workbookViewId="0">
      <selection activeCell="B1" sqref="B1"/>
    </sheetView>
  </sheetViews>
  <sheetFormatPr defaultRowHeight="14.4" x14ac:dyDescent="0.3"/>
  <cols>
    <col min="1" max="1" width="6.33203125" style="1" customWidth="1"/>
    <col min="2" max="2" width="8.88671875" style="1"/>
    <col min="3" max="3" width="2.44140625" style="1" customWidth="1"/>
    <col min="4" max="20" width="8.88671875" style="1"/>
    <col min="21" max="21" width="37.88671875" style="1" customWidth="1"/>
    <col min="23" max="23" width="25.88671875" bestFit="1" customWidth="1"/>
  </cols>
  <sheetData>
    <row r="1" spans="1:24" x14ac:dyDescent="0.3">
      <c r="A1" s="5" t="s">
        <v>40</v>
      </c>
      <c r="B1" s="6" t="s">
        <v>26</v>
      </c>
    </row>
    <row r="2" spans="1:24" x14ac:dyDescent="0.3"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W2" t="s">
        <v>38</v>
      </c>
      <c r="X2" t="s">
        <v>46</v>
      </c>
    </row>
    <row r="3" spans="1:24" x14ac:dyDescent="0.3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V3" t="str">
        <f>B1</f>
        <v>Jan</v>
      </c>
      <c r="W3">
        <f>VLOOKUP(V3,MainData[],2,0)</f>
        <v>1000</v>
      </c>
      <c r="X3">
        <f>VLOOKUP(V3,MainData[],3,0)</f>
        <v>2700</v>
      </c>
    </row>
    <row r="4" spans="1:24" x14ac:dyDescent="0.3"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4" x14ac:dyDescent="0.3"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4" x14ac:dyDescent="0.3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W6" t="s">
        <v>5</v>
      </c>
    </row>
    <row r="7" spans="1:24" x14ac:dyDescent="0.3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V7" t="str">
        <f>V3</f>
        <v>Jan</v>
      </c>
      <c r="W7" s="11">
        <f>VLOOKUP(V3,MainData[],4,0)</f>
        <v>3700</v>
      </c>
    </row>
    <row r="8" spans="1:24" x14ac:dyDescent="0.3"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24" x14ac:dyDescent="0.3"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W9" t="s">
        <v>10</v>
      </c>
    </row>
    <row r="10" spans="1:24" x14ac:dyDescent="0.3"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V10" t="str">
        <f>V7</f>
        <v>Jan</v>
      </c>
      <c r="W10" s="10">
        <f>VLOOKUP(V3,MainData[],5,0)</f>
        <v>0.27027027027027029</v>
      </c>
    </row>
    <row r="11" spans="1:24" x14ac:dyDescent="0.3"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24" x14ac:dyDescent="0.3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W12" t="s">
        <v>0</v>
      </c>
    </row>
    <row r="13" spans="1:24" x14ac:dyDescent="0.3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V13" t="str">
        <f>V10</f>
        <v>Jan</v>
      </c>
      <c r="W13">
        <f>VLOOKUP(V3,MainData[],6,0)</f>
        <v>33</v>
      </c>
    </row>
    <row r="14" spans="1:24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24" x14ac:dyDescent="0.3"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W15" t="s">
        <v>1</v>
      </c>
    </row>
    <row r="16" spans="1:24" x14ac:dyDescent="0.3"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V16" t="str">
        <f>V13</f>
        <v>Jan</v>
      </c>
      <c r="W16">
        <f>VLOOKUP(V3,MainData[],7,0)</f>
        <v>33</v>
      </c>
    </row>
    <row r="17" spans="4:32" x14ac:dyDescent="0.3"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4:32" x14ac:dyDescent="0.3"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W18" t="s">
        <v>2</v>
      </c>
      <c r="X18" t="s">
        <v>8</v>
      </c>
      <c r="Y18" s="1" t="s">
        <v>9</v>
      </c>
      <c r="Z18" t="s">
        <v>50</v>
      </c>
    </row>
    <row r="19" spans="4:32" x14ac:dyDescent="0.3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V19" t="str">
        <f>V16</f>
        <v>Jan</v>
      </c>
      <c r="W19">
        <f>VLOOKUP(V3,MainData[],8,0)</f>
        <v>120</v>
      </c>
      <c r="X19">
        <f>VLOOKUP(V3,MainData[],16,0)</f>
        <v>50</v>
      </c>
      <c r="Y19">
        <f>VLOOKUP(V3,MainData[],17,0)</f>
        <v>300</v>
      </c>
      <c r="Z19" s="14">
        <f>W7-Y19</f>
        <v>3400</v>
      </c>
    </row>
    <row r="20" spans="4:32" x14ac:dyDescent="0.3"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4:32" x14ac:dyDescent="0.3"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4:32" x14ac:dyDescent="0.3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W22" t="s">
        <v>3</v>
      </c>
      <c r="X22" s="1" t="s">
        <v>43</v>
      </c>
      <c r="Y22" s="1" t="s">
        <v>17</v>
      </c>
      <c r="Z22" s="1" t="s">
        <v>14</v>
      </c>
      <c r="AA22" s="1" t="s">
        <v>16</v>
      </c>
    </row>
    <row r="23" spans="4:32" x14ac:dyDescent="0.3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V23" t="str">
        <f>V19</f>
        <v>Jan</v>
      </c>
      <c r="W23" s="13">
        <f>VLOOKUP(V3,MainData[],9,0)</f>
        <v>887209</v>
      </c>
      <c r="X23">
        <f>VLOOKUP(V3,MainData[],18,0)</f>
        <v>100</v>
      </c>
      <c r="Y23">
        <f>VLOOKUP(V3,MainData[],24,0)</f>
        <v>32</v>
      </c>
      <c r="Z23">
        <f>VLOOKUP(V3,MainData[],21,0)</f>
        <v>3</v>
      </c>
      <c r="AA23">
        <f>VLOOKUP(V3,MainData[],24,0)</f>
        <v>32</v>
      </c>
    </row>
    <row r="24" spans="4:32" x14ac:dyDescent="0.3"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AE24">
        <v>18</v>
      </c>
    </row>
    <row r="25" spans="4:32" x14ac:dyDescent="0.3"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AE25">
        <f>AF26-AE24</f>
        <v>14</v>
      </c>
    </row>
    <row r="26" spans="4:32" x14ac:dyDescent="0.3"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W26" t="s">
        <v>4</v>
      </c>
      <c r="X26" s="1" t="s">
        <v>13</v>
      </c>
      <c r="Y26" s="1" t="s">
        <v>18</v>
      </c>
      <c r="AA26" s="1" t="s">
        <v>44</v>
      </c>
      <c r="AE26">
        <v>5</v>
      </c>
      <c r="AF26">
        <f>Y23</f>
        <v>32</v>
      </c>
    </row>
    <row r="27" spans="4:32" x14ac:dyDescent="0.3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V27" t="str">
        <f>V23</f>
        <v>Jan</v>
      </c>
      <c r="W27" s="13">
        <f>VLOOKUP(V3,MainData[],10,0)</f>
        <v>150000</v>
      </c>
      <c r="X27" s="10">
        <f>VLOOKUP(V3,MainData[],22,0)</f>
        <v>0.12</v>
      </c>
      <c r="Y27" s="9">
        <f>VLOOKUP(V3,MainData[],25,0)</f>
        <v>0.8</v>
      </c>
      <c r="Z27" s="17">
        <f>100%-Y27</f>
        <v>0.19999999999999996</v>
      </c>
      <c r="AA27">
        <f>VLOOKUP(V3,MainData[],28,0)</f>
        <v>320</v>
      </c>
      <c r="AB27" s="14">
        <f>W7-AA27</f>
        <v>3380</v>
      </c>
      <c r="AC27" s="10">
        <f>AA27/AB27</f>
        <v>9.4674556213017749E-2</v>
      </c>
      <c r="AE27">
        <f>AE28-AF26</f>
        <v>28</v>
      </c>
    </row>
    <row r="28" spans="4:32" x14ac:dyDescent="0.3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AE28">
        <f>120-60</f>
        <v>60</v>
      </c>
    </row>
    <row r="29" spans="4:32" x14ac:dyDescent="0.3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4:32" x14ac:dyDescent="0.3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W30" s="1" t="s">
        <v>47</v>
      </c>
      <c r="X30" s="1" t="s">
        <v>11</v>
      </c>
      <c r="Y30" s="1" t="s">
        <v>12</v>
      </c>
      <c r="Z30" s="1" t="s">
        <v>19</v>
      </c>
      <c r="AA30" s="1" t="s">
        <v>22</v>
      </c>
    </row>
    <row r="31" spans="4:32" x14ac:dyDescent="0.3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V31" t="str">
        <f>V27</f>
        <v>Jan</v>
      </c>
      <c r="W31" s="13">
        <f>VLOOKUP(V3,MainData[],11,0)</f>
        <v>12009400</v>
      </c>
      <c r="X31">
        <f>VLOOKUP(V3,MainData[],19,0)</f>
        <v>10</v>
      </c>
      <c r="Y31">
        <f>VLOOKUP(V3,MainData[],20,0)</f>
        <v>12</v>
      </c>
      <c r="Z31">
        <f>VLOOKUP(V3,MainData[],27,0)</f>
        <v>45</v>
      </c>
      <c r="AA31">
        <f>VLOOKUP(V3,MainData[],28,0)</f>
        <v>320</v>
      </c>
    </row>
    <row r="32" spans="4:32" x14ac:dyDescent="0.3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4" spans="22:28" x14ac:dyDescent="0.3">
      <c r="W34" t="s">
        <v>6</v>
      </c>
      <c r="X34" t="s">
        <v>7</v>
      </c>
    </row>
    <row r="35" spans="22:28" x14ac:dyDescent="0.3">
      <c r="V35" t="str">
        <f>V31</f>
        <v>Jan</v>
      </c>
      <c r="W35">
        <f>VLOOKUP(V3,MainData[],12,0)</f>
        <v>22</v>
      </c>
      <c r="X35">
        <f>VLOOKUP(V3,MainData[],13,0)</f>
        <v>10</v>
      </c>
    </row>
    <row r="37" spans="22:28" x14ac:dyDescent="0.3">
      <c r="W37" s="1" t="s">
        <v>48</v>
      </c>
      <c r="X37" s="1" t="s">
        <v>49</v>
      </c>
    </row>
    <row r="38" spans="22:28" x14ac:dyDescent="0.3">
      <c r="V38" t="str">
        <f>V35</f>
        <v>Jan</v>
      </c>
      <c r="W38" s="9">
        <f>VLOOKUP(V3,MainData[],31,0)</f>
        <v>0.22</v>
      </c>
      <c r="X38" s="9">
        <f>VLOOKUP(V3,MainData[],32,0)</f>
        <v>0.8</v>
      </c>
    </row>
    <row r="39" spans="22:28" x14ac:dyDescent="0.3">
      <c r="AB39">
        <v>1</v>
      </c>
    </row>
    <row r="40" spans="22:28" x14ac:dyDescent="0.3">
      <c r="W40" t="s">
        <v>41</v>
      </c>
      <c r="X40" t="s">
        <v>42</v>
      </c>
      <c r="AB40">
        <v>1</v>
      </c>
    </row>
    <row r="41" spans="22:28" x14ac:dyDescent="0.3">
      <c r="V41" t="str">
        <f>V38</f>
        <v>Jan</v>
      </c>
      <c r="W41">
        <f>VLOOKUP(V3,MainData[],14,0)</f>
        <v>40</v>
      </c>
      <c r="X41">
        <f>VLOOKUP(V3,MainData[],15,0)</f>
        <v>50</v>
      </c>
      <c r="AB41">
        <v>1</v>
      </c>
    </row>
    <row r="42" spans="22:28" x14ac:dyDescent="0.3">
      <c r="AB42">
        <v>1</v>
      </c>
    </row>
    <row r="43" spans="22:28" x14ac:dyDescent="0.3">
      <c r="AB43">
        <v>1</v>
      </c>
    </row>
    <row r="44" spans="22:28" x14ac:dyDescent="0.3">
      <c r="W44" t="s">
        <v>45</v>
      </c>
      <c r="X44" s="9">
        <f>VLOOKUP(V3,MainData[],30,0)</f>
        <v>0.1</v>
      </c>
      <c r="Y44" s="17">
        <f>1-X44</f>
        <v>0.9</v>
      </c>
      <c r="AB44">
        <v>1</v>
      </c>
    </row>
    <row r="45" spans="22:28" x14ac:dyDescent="0.3">
      <c r="W45" t="s">
        <v>23</v>
      </c>
      <c r="X45" s="9">
        <f>VLOOKUP(V3,MainData[],34,0)</f>
        <v>0.22</v>
      </c>
      <c r="Y45" s="17">
        <f>1-X45</f>
        <v>0.78</v>
      </c>
      <c r="AB45">
        <v>1</v>
      </c>
    </row>
    <row r="46" spans="22:28" x14ac:dyDescent="0.3">
      <c r="W46" t="s">
        <v>24</v>
      </c>
      <c r="X46" s="9">
        <f>VLOOKUP(V3,MainData[],33,0)</f>
        <v>0.7</v>
      </c>
      <c r="Y46" s="17">
        <f>1-X46</f>
        <v>0.30000000000000004</v>
      </c>
      <c r="AB46">
        <v>1</v>
      </c>
    </row>
    <row r="47" spans="22:28" x14ac:dyDescent="0.3">
      <c r="W47" t="s">
        <v>25</v>
      </c>
      <c r="X47" s="9">
        <f>VLOOKUP(V3,MainData[],34,0)</f>
        <v>0.22</v>
      </c>
      <c r="Y47" s="17">
        <f>1-X47</f>
        <v>0.78</v>
      </c>
      <c r="AB47">
        <v>1</v>
      </c>
    </row>
    <row r="48" spans="22:28" x14ac:dyDescent="0.3">
      <c r="X48" s="9"/>
      <c r="AB48">
        <v>1</v>
      </c>
    </row>
    <row r="49" spans="24:28" x14ac:dyDescent="0.3">
      <c r="X49" s="9"/>
      <c r="AB49">
        <v>1</v>
      </c>
    </row>
    <row r="50" spans="24:28" x14ac:dyDescent="0.3">
      <c r="X50" s="9"/>
      <c r="AB50">
        <v>1</v>
      </c>
    </row>
    <row r="51" spans="24:28" x14ac:dyDescent="0.3">
      <c r="AB51">
        <v>1</v>
      </c>
    </row>
    <row r="52" spans="24:28" x14ac:dyDescent="0.3">
      <c r="AB52">
        <v>1</v>
      </c>
    </row>
    <row r="53" spans="24:28" x14ac:dyDescent="0.3">
      <c r="AB53">
        <v>1</v>
      </c>
    </row>
    <row r="54" spans="24:28" x14ac:dyDescent="0.3">
      <c r="AB54">
        <v>1</v>
      </c>
    </row>
    <row r="55" spans="24:28" x14ac:dyDescent="0.3">
      <c r="AB55">
        <v>1</v>
      </c>
    </row>
    <row r="56" spans="24:28" x14ac:dyDescent="0.3">
      <c r="AB56">
        <v>1</v>
      </c>
    </row>
    <row r="57" spans="24:28" x14ac:dyDescent="0.3">
      <c r="AB57">
        <v>1</v>
      </c>
    </row>
    <row r="58" spans="24:28" x14ac:dyDescent="0.3">
      <c r="AB58">
        <v>1</v>
      </c>
    </row>
  </sheetData>
  <printOptions horizontalCentered="1" verticalCentered="1"/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563657-363E-45D7-86A2-B741AEEC8180}">
          <x14:formula1>
            <xm:f>Sheet1!$B$3:$B$14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SHAIMAA.AHMED</cp:lastModifiedBy>
  <cp:lastPrinted>2020-03-26T18:37:08Z</cp:lastPrinted>
  <dcterms:created xsi:type="dcterms:W3CDTF">2020-03-26T11:40:04Z</dcterms:created>
  <dcterms:modified xsi:type="dcterms:W3CDTF">2024-01-05T16:46:11Z</dcterms:modified>
</cp:coreProperties>
</file>