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olu\Documents\Software\GitHub\FinEngColumbia\"/>
    </mc:Choice>
  </mc:AlternateContent>
  <bookViews>
    <workbookView xWindow="0" yWindow="0" windowWidth="20490" windowHeight="7755" tabRatio="815" activeTab="3"/>
  </bookViews>
  <sheets>
    <sheet name="BDT" sheetId="7" r:id="rId1"/>
    <sheet name="Defaultable" sheetId="17" r:id="rId2"/>
    <sheet name="Hazard calibration" sheetId="18" r:id="rId3"/>
    <sheet name="CDS pricing" sheetId="19" r:id="rId4"/>
  </sheets>
  <externalReferences>
    <externalReference r:id="rId5"/>
  </externalReferences>
  <definedNames>
    <definedName name="N" localSheetId="3">'CDS pricing'!$B$2</definedName>
    <definedName name="_xlnm.Print_Area" localSheetId="0">BDT!$C$72:$L$97</definedName>
    <definedName name="rf" localSheetId="2">'Hazard calibration'!$F$2</definedName>
    <definedName name="S">'CDS pricing'!$B$1</definedName>
    <definedName name="solver_adj" localSheetId="0" hidden="1">BDT!$C$5:$L$5</definedName>
    <definedName name="solver_adj" localSheetId="3" hidden="1">'CDS pricing'!$B$1</definedName>
    <definedName name="solver_cvg" localSheetId="0" hidden="1">0.0001</definedName>
    <definedName name="solver_cvg" localSheetId="3" hidden="1">0.0001</definedName>
    <definedName name="solver_drv" localSheetId="0" hidden="1">1</definedName>
    <definedName name="solver_drv" localSheetId="3" hidden="1">1</definedName>
    <definedName name="solver_eng" localSheetId="0" hidden="1">1</definedName>
    <definedName name="solver_eng" localSheetId="3" hidden="1">1</definedName>
    <definedName name="solver_est" localSheetId="0" hidden="1">1</definedName>
    <definedName name="solver_est" localSheetId="3" hidden="1">1</definedName>
    <definedName name="solver_itr" localSheetId="0" hidden="1">100</definedName>
    <definedName name="solver_itr" localSheetId="3" hidden="1">2147483647</definedName>
    <definedName name="solver_lin" localSheetId="0" hidden="1">2</definedName>
    <definedName name="solver_mip" localSheetId="0" hidden="1">2147483647</definedName>
    <definedName name="solver_mip" localSheetId="3" hidden="1">2147483647</definedName>
    <definedName name="solver_mni" localSheetId="0" hidden="1">30</definedName>
    <definedName name="solver_mni" localSheetId="3" hidden="1">30</definedName>
    <definedName name="solver_mrt" localSheetId="0" hidden="1">0.075</definedName>
    <definedName name="solver_mrt" localSheetId="3" hidden="1">0.075</definedName>
    <definedName name="solver_msl" localSheetId="0" hidden="1">2</definedName>
    <definedName name="solver_msl" localSheetId="3" hidden="1">2</definedName>
    <definedName name="solver_neg" localSheetId="0" hidden="1">2</definedName>
    <definedName name="solver_neg" localSheetId="3" hidden="1">1</definedName>
    <definedName name="solver_nod" localSheetId="0" hidden="1">2147483647</definedName>
    <definedName name="solver_nod" localSheetId="3" hidden="1">2147483647</definedName>
    <definedName name="solver_num" localSheetId="0" hidden="1">0</definedName>
    <definedName name="solver_num" localSheetId="3" hidden="1">0</definedName>
    <definedName name="solver_nwt" localSheetId="0" hidden="1">1</definedName>
    <definedName name="solver_nwt" localSheetId="3" hidden="1">1</definedName>
    <definedName name="solver_opt" localSheetId="0" hidden="1">BDT!$D$43</definedName>
    <definedName name="solver_opt" localSheetId="3" hidden="1">'CDS pricing'!$H$30</definedName>
    <definedName name="solver_pre" localSheetId="0" hidden="1">0.000001</definedName>
    <definedName name="solver_pre" localSheetId="3" hidden="1">0.000001</definedName>
    <definedName name="solver_rbv" localSheetId="0" hidden="1">1</definedName>
    <definedName name="solver_rbv" localSheetId="3" hidden="1">1</definedName>
    <definedName name="solver_rlx" localSheetId="0" hidden="1">1</definedName>
    <definedName name="solver_rlx" localSheetId="3" hidden="1">2</definedName>
    <definedName name="solver_rsd" localSheetId="0" hidden="1">0</definedName>
    <definedName name="solver_rsd" localSheetId="3" hidden="1">0</definedName>
    <definedName name="solver_scl" localSheetId="0" hidden="1">2</definedName>
    <definedName name="solver_scl" localSheetId="3" hidden="1">1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ssz" localSheetId="3" hidden="1">100</definedName>
    <definedName name="solver_tim" localSheetId="0" hidden="1">100</definedName>
    <definedName name="solver_tim" localSheetId="3" hidden="1">2147483647</definedName>
    <definedName name="solver_tol" localSheetId="0" hidden="1">0.05</definedName>
    <definedName name="solver_tol" localSheetId="3" hidden="1">0.01</definedName>
    <definedName name="solver_typ" localSheetId="0" hidden="1">2</definedName>
    <definedName name="solver_typ" localSheetId="3" hidden="1">3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  <definedName name="workspace">#REF!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9" i="19" l="1"/>
  <c r="B29" i="17"/>
  <c r="C29" i="17"/>
  <c r="D29" i="17"/>
  <c r="E29" i="17"/>
  <c r="F29" i="17"/>
  <c r="G29" i="17"/>
  <c r="H29" i="17"/>
  <c r="I29" i="17"/>
  <c r="J29" i="17"/>
  <c r="K29" i="17"/>
  <c r="B30" i="17"/>
  <c r="C30" i="17"/>
  <c r="D30" i="17"/>
  <c r="E30" i="17"/>
  <c r="F30" i="17"/>
  <c r="G30" i="17"/>
  <c r="H30" i="17"/>
  <c r="I30" i="17"/>
  <c r="J30" i="17"/>
  <c r="K30" i="17"/>
  <c r="B31" i="17"/>
  <c r="C31" i="17"/>
  <c r="D31" i="17"/>
  <c r="E31" i="17"/>
  <c r="F31" i="17"/>
  <c r="G31" i="17"/>
  <c r="H31" i="17"/>
  <c r="I31" i="17"/>
  <c r="J31" i="17"/>
  <c r="K31" i="17"/>
  <c r="B32" i="17"/>
  <c r="C32" i="17"/>
  <c r="D32" i="17"/>
  <c r="E32" i="17"/>
  <c r="F32" i="17"/>
  <c r="G32" i="17"/>
  <c r="H32" i="17"/>
  <c r="I32" i="17"/>
  <c r="J32" i="17"/>
  <c r="K32" i="17"/>
  <c r="B33" i="17"/>
  <c r="C33" i="17"/>
  <c r="D33" i="17"/>
  <c r="E33" i="17"/>
  <c r="F33" i="17"/>
  <c r="G33" i="17"/>
  <c r="H33" i="17"/>
  <c r="I33" i="17"/>
  <c r="J33" i="17"/>
  <c r="K33" i="17"/>
  <c r="B34" i="17"/>
  <c r="C34" i="17"/>
  <c r="D34" i="17"/>
  <c r="E34" i="17"/>
  <c r="F34" i="17"/>
  <c r="G34" i="17"/>
  <c r="H34" i="17"/>
  <c r="I34" i="17"/>
  <c r="J34" i="17"/>
  <c r="K34" i="17"/>
  <c r="B35" i="17"/>
  <c r="C35" i="17"/>
  <c r="D35" i="17"/>
  <c r="E35" i="17"/>
  <c r="F35" i="17"/>
  <c r="G35" i="17"/>
  <c r="H35" i="17"/>
  <c r="I35" i="17"/>
  <c r="J35" i="17"/>
  <c r="K35" i="17"/>
  <c r="B36" i="17"/>
  <c r="C36" i="17"/>
  <c r="D36" i="17"/>
  <c r="E36" i="17"/>
  <c r="F36" i="17"/>
  <c r="G36" i="17"/>
  <c r="H36" i="17"/>
  <c r="I36" i="17"/>
  <c r="J36" i="17"/>
  <c r="K36" i="17"/>
  <c r="B37" i="17"/>
  <c r="C37" i="17"/>
  <c r="D37" i="17"/>
  <c r="E37" i="17"/>
  <c r="F37" i="17"/>
  <c r="G37" i="17"/>
  <c r="H37" i="17"/>
  <c r="I37" i="17"/>
  <c r="J37" i="17"/>
  <c r="K37" i="17"/>
  <c r="B38" i="17"/>
  <c r="C38" i="17"/>
  <c r="D38" i="17"/>
  <c r="E38" i="17"/>
  <c r="F38" i="17"/>
  <c r="G38" i="17"/>
  <c r="H38" i="17"/>
  <c r="I38" i="17"/>
  <c r="J38" i="17"/>
  <c r="K38" i="17"/>
  <c r="B39" i="17"/>
  <c r="C39" i="17"/>
  <c r="D39" i="17"/>
  <c r="E39" i="17"/>
  <c r="F39" i="17"/>
  <c r="G39" i="17"/>
  <c r="H39" i="17"/>
  <c r="I39" i="17"/>
  <c r="J39" i="17"/>
  <c r="K39" i="17"/>
  <c r="L30" i="17"/>
  <c r="L31" i="17"/>
  <c r="L32" i="17"/>
  <c r="L33" i="17"/>
  <c r="L34" i="17"/>
  <c r="L35" i="17"/>
  <c r="L36" i="17"/>
  <c r="L37" i="17"/>
  <c r="L38" i="17"/>
  <c r="L39" i="17"/>
  <c r="L29" i="17"/>
  <c r="E26" i="19"/>
  <c r="C26" i="19"/>
  <c r="B26" i="19"/>
  <c r="E25" i="19"/>
  <c r="C25" i="19"/>
  <c r="B25" i="19"/>
  <c r="E24" i="19"/>
  <c r="C24" i="19"/>
  <c r="B24" i="19"/>
  <c r="E23" i="19"/>
  <c r="C23" i="19"/>
  <c r="B23" i="19"/>
  <c r="E22" i="19"/>
  <c r="C22" i="19"/>
  <c r="B22" i="19"/>
  <c r="E21" i="19"/>
  <c r="C21" i="19"/>
  <c r="B21" i="19"/>
  <c r="E20" i="19"/>
  <c r="C20" i="19"/>
  <c r="B20" i="19"/>
  <c r="E19" i="19"/>
  <c r="C19" i="19"/>
  <c r="B19" i="19"/>
  <c r="E18" i="19"/>
  <c r="C18" i="19"/>
  <c r="B18" i="19"/>
  <c r="E17" i="19"/>
  <c r="C17" i="19"/>
  <c r="B17" i="19"/>
  <c r="E16" i="19"/>
  <c r="C16" i="19"/>
  <c r="B16" i="19"/>
  <c r="E15" i="19"/>
  <c r="C15" i="19"/>
  <c r="B15" i="19"/>
  <c r="E14" i="19"/>
  <c r="C14" i="19"/>
  <c r="B14" i="19"/>
  <c r="E13" i="19"/>
  <c r="C13" i="19"/>
  <c r="B13" i="19"/>
  <c r="E12" i="19"/>
  <c r="C12" i="19"/>
  <c r="B12" i="19"/>
  <c r="E11" i="19"/>
  <c r="C11" i="19"/>
  <c r="B11" i="19"/>
  <c r="E10" i="19"/>
  <c r="C10" i="19"/>
  <c r="B10" i="19"/>
  <c r="E9" i="19"/>
  <c r="C9" i="19"/>
  <c r="B9" i="19"/>
  <c r="E8" i="19"/>
  <c r="C8" i="19"/>
  <c r="B8" i="19"/>
  <c r="E7" i="19"/>
  <c r="C7" i="19"/>
  <c r="B7" i="19"/>
  <c r="C6" i="19"/>
  <c r="E16" i="18"/>
  <c r="E15" i="18"/>
  <c r="E14" i="18"/>
  <c r="E13" i="18"/>
  <c r="E12" i="18"/>
  <c r="E11" i="18"/>
  <c r="E10" i="18"/>
  <c r="E9" i="18"/>
  <c r="E8" i="18"/>
  <c r="AH7" i="18"/>
  <c r="J7" i="18"/>
  <c r="E7" i="18"/>
  <c r="AB7" i="18" s="1"/>
  <c r="D7" i="18"/>
  <c r="C7" i="18"/>
  <c r="D8" i="18" s="1"/>
  <c r="B44" i="17"/>
  <c r="C44" i="17"/>
  <c r="D44" i="17"/>
  <c r="E44" i="17"/>
  <c r="F44" i="17"/>
  <c r="G44" i="17"/>
  <c r="H44" i="17"/>
  <c r="I44" i="17"/>
  <c r="J44" i="17"/>
  <c r="B45" i="17"/>
  <c r="C45" i="17"/>
  <c r="D45" i="17"/>
  <c r="E45" i="17"/>
  <c r="F45" i="17"/>
  <c r="G45" i="17"/>
  <c r="H45" i="17"/>
  <c r="I45" i="17"/>
  <c r="B46" i="17"/>
  <c r="C46" i="17"/>
  <c r="D46" i="17"/>
  <c r="E46" i="17"/>
  <c r="F46" i="17"/>
  <c r="G46" i="17"/>
  <c r="H46" i="17"/>
  <c r="B47" i="17"/>
  <c r="C47" i="17"/>
  <c r="D47" i="17"/>
  <c r="E47" i="17"/>
  <c r="F47" i="17"/>
  <c r="G47" i="17"/>
  <c r="B48" i="17"/>
  <c r="C48" i="17"/>
  <c r="D48" i="17"/>
  <c r="E48" i="17"/>
  <c r="F48" i="17"/>
  <c r="B49" i="17"/>
  <c r="C49" i="17"/>
  <c r="D49" i="17"/>
  <c r="E49" i="17"/>
  <c r="B50" i="17"/>
  <c r="C50" i="17"/>
  <c r="D50" i="17"/>
  <c r="B51" i="17"/>
  <c r="C51" i="17"/>
  <c r="B52" i="17"/>
  <c r="B55" i="17"/>
  <c r="C55" i="17"/>
  <c r="D55" i="17"/>
  <c r="E55" i="17"/>
  <c r="F55" i="17"/>
  <c r="G55" i="17"/>
  <c r="H55" i="17"/>
  <c r="I55" i="17"/>
  <c r="J55" i="17"/>
  <c r="K55" i="17"/>
  <c r="L55" i="17"/>
  <c r="K43" i="17"/>
  <c r="J43" i="17"/>
  <c r="I43" i="17"/>
  <c r="H43" i="17"/>
  <c r="G43" i="17"/>
  <c r="F43" i="17"/>
  <c r="E43" i="17"/>
  <c r="D43" i="17"/>
  <c r="C43" i="17"/>
  <c r="B43" i="17"/>
  <c r="B6" i="17"/>
  <c r="C25" i="17"/>
  <c r="D25" i="17" s="1"/>
  <c r="E25" i="17" s="1"/>
  <c r="F25" i="17" s="1"/>
  <c r="G25" i="17" s="1"/>
  <c r="H25" i="17" s="1"/>
  <c r="I25" i="17" s="1"/>
  <c r="J25" i="17" s="1"/>
  <c r="K25" i="17" s="1"/>
  <c r="L25" i="17" s="1"/>
  <c r="B25" i="17"/>
  <c r="C24" i="17" s="1"/>
  <c r="D23" i="17" s="1"/>
  <c r="E23" i="17" s="1"/>
  <c r="F23" i="17" s="1"/>
  <c r="G23" i="17" s="1"/>
  <c r="H23" i="17" s="1"/>
  <c r="I23" i="17" s="1"/>
  <c r="J23" i="17" s="1"/>
  <c r="K23" i="17" s="1"/>
  <c r="L23" i="17" s="1"/>
  <c r="C23" i="17"/>
  <c r="D22" i="17"/>
  <c r="C22" i="17"/>
  <c r="E21" i="17"/>
  <c r="D21" i="17"/>
  <c r="C21" i="17"/>
  <c r="F20" i="17"/>
  <c r="E20" i="17"/>
  <c r="D20" i="17"/>
  <c r="C20" i="17"/>
  <c r="G19" i="17"/>
  <c r="F19" i="17"/>
  <c r="E19" i="17"/>
  <c r="D19" i="17"/>
  <c r="C19" i="17"/>
  <c r="H18" i="17"/>
  <c r="G18" i="17"/>
  <c r="F18" i="17"/>
  <c r="E18" i="17"/>
  <c r="D18" i="17"/>
  <c r="C18" i="17"/>
  <c r="I17" i="17"/>
  <c r="H17" i="17"/>
  <c r="G17" i="17"/>
  <c r="F17" i="17"/>
  <c r="E17" i="17"/>
  <c r="D17" i="17"/>
  <c r="C17" i="17"/>
  <c r="J16" i="17"/>
  <c r="I16" i="17"/>
  <c r="H16" i="17"/>
  <c r="G16" i="17"/>
  <c r="F16" i="17"/>
  <c r="E16" i="17"/>
  <c r="D16" i="17"/>
  <c r="C16" i="17"/>
  <c r="K15" i="17"/>
  <c r="J15" i="17"/>
  <c r="I15" i="17"/>
  <c r="H15" i="17"/>
  <c r="G15" i="17"/>
  <c r="F15" i="17"/>
  <c r="E15" i="17"/>
  <c r="D15" i="17"/>
  <c r="C15" i="17"/>
  <c r="H7" i="19" l="1"/>
  <c r="K7" i="19" s="1"/>
  <c r="L7" i="19" s="1"/>
  <c r="D7" i="19"/>
  <c r="F7" i="19"/>
  <c r="G7" i="19" s="1"/>
  <c r="P7" i="18"/>
  <c r="C8" i="18"/>
  <c r="AB8" i="18" s="1"/>
  <c r="V7" i="18"/>
  <c r="K51" i="17"/>
  <c r="K53" i="17"/>
  <c r="D24" i="17"/>
  <c r="E22" i="17"/>
  <c r="D8" i="19" l="1"/>
  <c r="H8" i="19"/>
  <c r="I7" i="19"/>
  <c r="J7" i="19" s="1"/>
  <c r="V8" i="18"/>
  <c r="P8" i="18"/>
  <c r="D9" i="18"/>
  <c r="J8" i="18"/>
  <c r="J18" i="18" s="1"/>
  <c r="J20" i="18" s="1"/>
  <c r="C9" i="18"/>
  <c r="AH8" i="18"/>
  <c r="E24" i="17"/>
  <c r="F22" i="17"/>
  <c r="F21" i="17"/>
  <c r="K8" i="19" l="1"/>
  <c r="L8" i="19" s="1"/>
  <c r="I8" i="19"/>
  <c r="J8" i="19" s="1"/>
  <c r="H9" i="19"/>
  <c r="D9" i="19"/>
  <c r="F8" i="19"/>
  <c r="G8" i="19" s="1"/>
  <c r="P9" i="18"/>
  <c r="D10" i="18"/>
  <c r="C10" i="18"/>
  <c r="AH9" i="18"/>
  <c r="V9" i="18"/>
  <c r="AB9" i="18"/>
  <c r="F24" i="17"/>
  <c r="G22" i="17"/>
  <c r="G20" i="17"/>
  <c r="G21" i="17"/>
  <c r="H10" i="19" l="1"/>
  <c r="D10" i="19"/>
  <c r="F9" i="19"/>
  <c r="G9" i="19" s="1"/>
  <c r="K9" i="19"/>
  <c r="L9" i="19" s="1"/>
  <c r="I9" i="19"/>
  <c r="J9" i="19" s="1"/>
  <c r="C11" i="18"/>
  <c r="P10" i="18"/>
  <c r="P18" i="18" s="1"/>
  <c r="P20" i="18" s="1"/>
  <c r="V10" i="18"/>
  <c r="AB10" i="18"/>
  <c r="D11" i="18"/>
  <c r="AH10" i="18"/>
  <c r="H22" i="17"/>
  <c r="H21" i="17"/>
  <c r="G24" i="17"/>
  <c r="H19" i="17"/>
  <c r="H20" i="17"/>
  <c r="K10" i="19" l="1"/>
  <c r="L10" i="19" s="1"/>
  <c r="I10" i="19"/>
  <c r="J10" i="19" s="1"/>
  <c r="H11" i="19"/>
  <c r="D11" i="19"/>
  <c r="F10" i="19"/>
  <c r="G10" i="19" s="1"/>
  <c r="AB11" i="18"/>
  <c r="D12" i="18"/>
  <c r="AH11" i="18"/>
  <c r="C12" i="18"/>
  <c r="V11" i="18"/>
  <c r="I21" i="17"/>
  <c r="H24" i="17"/>
  <c r="I22" i="17"/>
  <c r="I20" i="17"/>
  <c r="I19" i="17"/>
  <c r="I18" i="17"/>
  <c r="K11" i="19" l="1"/>
  <c r="L11" i="19" s="1"/>
  <c r="I11" i="19"/>
  <c r="J11" i="19" s="1"/>
  <c r="D12" i="19"/>
  <c r="H12" i="19"/>
  <c r="F11" i="19"/>
  <c r="G11" i="19" s="1"/>
  <c r="C13" i="18"/>
  <c r="D13" i="18"/>
  <c r="V12" i="18"/>
  <c r="V18" i="18" s="1"/>
  <c r="V20" i="18" s="1"/>
  <c r="AB12" i="18"/>
  <c r="AH12" i="18"/>
  <c r="J20" i="17"/>
  <c r="J22" i="17"/>
  <c r="J19" i="17"/>
  <c r="I24" i="17"/>
  <c r="J21" i="17"/>
  <c r="J18" i="17"/>
  <c r="J17" i="17"/>
  <c r="H13" i="19" l="1"/>
  <c r="D13" i="19"/>
  <c r="F12" i="19"/>
  <c r="G12" i="19" s="1"/>
  <c r="K12" i="19"/>
  <c r="L12" i="19" s="1"/>
  <c r="I12" i="19"/>
  <c r="J12" i="19" s="1"/>
  <c r="AH13" i="18"/>
  <c r="AB13" i="18"/>
  <c r="C14" i="18"/>
  <c r="D14" i="18"/>
  <c r="J24" i="17"/>
  <c r="K18" i="17"/>
  <c r="L18" i="17" s="1"/>
  <c r="K21" i="17"/>
  <c r="K22" i="17"/>
  <c r="K19" i="17"/>
  <c r="K20" i="17"/>
  <c r="K16" i="17"/>
  <c r="K44" i="17" s="1"/>
  <c r="K17" i="17"/>
  <c r="H14" i="19" l="1"/>
  <c r="D14" i="19"/>
  <c r="F13" i="19"/>
  <c r="G13" i="19" s="1"/>
  <c r="I13" i="19"/>
  <c r="J13" i="19" s="1"/>
  <c r="K13" i="19"/>
  <c r="L13" i="19" s="1"/>
  <c r="AB14" i="18"/>
  <c r="AB18" i="18" s="1"/>
  <c r="AB20" i="18" s="1"/>
  <c r="D15" i="18"/>
  <c r="C15" i="18"/>
  <c r="AH14" i="18"/>
  <c r="K50" i="17"/>
  <c r="J51" i="17" s="1"/>
  <c r="L22" i="17"/>
  <c r="K46" i="17"/>
  <c r="K47" i="17"/>
  <c r="L19" i="17"/>
  <c r="K49" i="17"/>
  <c r="L21" i="17"/>
  <c r="K24" i="17"/>
  <c r="L20" i="17"/>
  <c r="K48" i="17"/>
  <c r="L17" i="17"/>
  <c r="K45" i="17"/>
  <c r="L15" i="17"/>
  <c r="L16" i="17"/>
  <c r="H15" i="19" l="1"/>
  <c r="D15" i="19"/>
  <c r="F14" i="19"/>
  <c r="G14" i="19" s="1"/>
  <c r="K14" i="19"/>
  <c r="L14" i="19" s="1"/>
  <c r="I14" i="19"/>
  <c r="J14" i="19" s="1"/>
  <c r="D16" i="18"/>
  <c r="AH15" i="18"/>
  <c r="C16" i="18"/>
  <c r="AH16" i="18" s="1"/>
  <c r="J49" i="17"/>
  <c r="J50" i="17"/>
  <c r="I51" i="17" s="1"/>
  <c r="J47" i="17"/>
  <c r="J46" i="17"/>
  <c r="K52" i="17"/>
  <c r="L24" i="17"/>
  <c r="J48" i="17"/>
  <c r="J45" i="17"/>
  <c r="H16" i="19" l="1"/>
  <c r="D16" i="19"/>
  <c r="F15" i="19"/>
  <c r="G15" i="19" s="1"/>
  <c r="K15" i="19"/>
  <c r="L15" i="19" s="1"/>
  <c r="I15" i="19"/>
  <c r="J15" i="19" s="1"/>
  <c r="AH18" i="18"/>
  <c r="AH20" i="18" s="1"/>
  <c r="J21" i="18" s="1"/>
  <c r="I49" i="17"/>
  <c r="I46" i="17"/>
  <c r="I50" i="17"/>
  <c r="H51" i="17" s="1"/>
  <c r="I47" i="17"/>
  <c r="J53" i="17"/>
  <c r="J52" i="17"/>
  <c r="I48" i="17"/>
  <c r="H17" i="19" l="1"/>
  <c r="D17" i="19"/>
  <c r="F16" i="19"/>
  <c r="G16" i="19" s="1"/>
  <c r="K16" i="19"/>
  <c r="L16" i="19" s="1"/>
  <c r="I16" i="19"/>
  <c r="J16" i="19" s="1"/>
  <c r="H49" i="17"/>
  <c r="H47" i="17"/>
  <c r="H50" i="17"/>
  <c r="G51" i="17" s="1"/>
  <c r="H48" i="17"/>
  <c r="I53" i="17"/>
  <c r="I52" i="17"/>
  <c r="F17" i="19" l="1"/>
  <c r="G17" i="19" s="1"/>
  <c r="H18" i="19"/>
  <c r="D18" i="19"/>
  <c r="K17" i="19"/>
  <c r="L17" i="19" s="1"/>
  <c r="I17" i="19"/>
  <c r="J17" i="19" s="1"/>
  <c r="G49" i="17"/>
  <c r="G48" i="17"/>
  <c r="G50" i="17"/>
  <c r="F51" i="17" s="1"/>
  <c r="H53" i="17"/>
  <c r="H52" i="17"/>
  <c r="H19" i="19" l="1"/>
  <c r="D19" i="19"/>
  <c r="F18" i="19"/>
  <c r="G18" i="19" s="1"/>
  <c r="K18" i="19"/>
  <c r="L18" i="19" s="1"/>
  <c r="I18" i="19"/>
  <c r="J18" i="19" s="1"/>
  <c r="F49" i="17"/>
  <c r="F50" i="17"/>
  <c r="E51" i="17" s="1"/>
  <c r="G53" i="17"/>
  <c r="G52" i="17"/>
  <c r="H20" i="19" l="1"/>
  <c r="D20" i="19"/>
  <c r="F19" i="19"/>
  <c r="G19" i="19" s="1"/>
  <c r="K19" i="19"/>
  <c r="L19" i="19" s="1"/>
  <c r="I19" i="19"/>
  <c r="J19" i="19" s="1"/>
  <c r="E50" i="17"/>
  <c r="D51" i="17" s="1"/>
  <c r="F53" i="17"/>
  <c r="F52" i="17"/>
  <c r="H21" i="19" l="1"/>
  <c r="D21" i="19"/>
  <c r="F20" i="19"/>
  <c r="G20" i="19" s="1"/>
  <c r="K20" i="19"/>
  <c r="L20" i="19" s="1"/>
  <c r="I20" i="19"/>
  <c r="J20" i="19" s="1"/>
  <c r="E53" i="17"/>
  <c r="E52" i="17"/>
  <c r="F21" i="19" l="1"/>
  <c r="G21" i="19" s="1"/>
  <c r="D22" i="19"/>
  <c r="H22" i="19"/>
  <c r="K21" i="19"/>
  <c r="L21" i="19" s="1"/>
  <c r="I21" i="19"/>
  <c r="J21" i="19" s="1"/>
  <c r="D53" i="17"/>
  <c r="D52" i="17"/>
  <c r="K22" i="19" l="1"/>
  <c r="L22" i="19" s="1"/>
  <c r="I22" i="19"/>
  <c r="J22" i="19" s="1"/>
  <c r="H23" i="19"/>
  <c r="D23" i="19"/>
  <c r="F22" i="19"/>
  <c r="G22" i="19" s="1"/>
  <c r="C53" i="17"/>
  <c r="C52" i="17"/>
  <c r="H24" i="19" l="1"/>
  <c r="D24" i="19"/>
  <c r="F23" i="19"/>
  <c r="G23" i="19" s="1"/>
  <c r="K23" i="19"/>
  <c r="L23" i="19" s="1"/>
  <c r="I23" i="19"/>
  <c r="J23" i="19" s="1"/>
  <c r="B53" i="17"/>
  <c r="H25" i="19" l="1"/>
  <c r="D25" i="19"/>
  <c r="F24" i="19"/>
  <c r="G24" i="19" s="1"/>
  <c r="K24" i="19"/>
  <c r="L24" i="19" s="1"/>
  <c r="I24" i="19"/>
  <c r="J24" i="19" s="1"/>
  <c r="F25" i="19" l="1"/>
  <c r="G25" i="19" s="1"/>
  <c r="D26" i="19"/>
  <c r="H26" i="19"/>
  <c r="K25" i="19"/>
  <c r="L25" i="19" s="1"/>
  <c r="I25" i="19"/>
  <c r="J25" i="19" s="1"/>
  <c r="K26" i="19" l="1"/>
  <c r="L26" i="19" s="1"/>
  <c r="I26" i="19"/>
  <c r="J26" i="19" s="1"/>
  <c r="F26" i="19"/>
  <c r="G26" i="19" s="1"/>
  <c r="D57" i="7" l="1"/>
  <c r="E19" i="7" l="1"/>
  <c r="F18" i="7"/>
  <c r="G17" i="7"/>
  <c r="H16" i="7"/>
  <c r="I15" i="7"/>
  <c r="J14" i="7"/>
  <c r="K13" i="7"/>
  <c r="L12" i="7"/>
  <c r="L50" i="7" s="1"/>
  <c r="L13" i="7"/>
  <c r="L51" i="7" s="1"/>
  <c r="B8" i="7"/>
  <c r="K14" i="7"/>
  <c r="L14" i="7"/>
  <c r="L52" i="7" s="1"/>
  <c r="J15" i="7"/>
  <c r="K15" i="7"/>
  <c r="L15" i="7"/>
  <c r="L53" i="7" s="1"/>
  <c r="I16" i="7"/>
  <c r="J16" i="7"/>
  <c r="K16" i="7"/>
  <c r="L16" i="7"/>
  <c r="L54" i="7" s="1"/>
  <c r="H17" i="7"/>
  <c r="I17" i="7"/>
  <c r="J17" i="7"/>
  <c r="K17" i="7"/>
  <c r="L17" i="7"/>
  <c r="L55" i="7" s="1"/>
  <c r="G18" i="7"/>
  <c r="H18" i="7"/>
  <c r="I18" i="7"/>
  <c r="J18" i="7"/>
  <c r="K18" i="7"/>
  <c r="L18" i="7"/>
  <c r="L56" i="7" s="1"/>
  <c r="F19" i="7"/>
  <c r="G19" i="7"/>
  <c r="H19" i="7"/>
  <c r="I19" i="7"/>
  <c r="J19" i="7"/>
  <c r="K19" i="7"/>
  <c r="L19" i="7"/>
  <c r="L57" i="7" s="1"/>
  <c r="E20" i="7"/>
  <c r="F20" i="7"/>
  <c r="G20" i="7"/>
  <c r="H20" i="7"/>
  <c r="I20" i="7"/>
  <c r="J20" i="7"/>
  <c r="K20" i="7"/>
  <c r="L20" i="7"/>
  <c r="L58" i="7" s="1"/>
  <c r="D20" i="7"/>
  <c r="E21" i="7"/>
  <c r="F21" i="7"/>
  <c r="G21" i="7"/>
  <c r="H21" i="7"/>
  <c r="I21" i="7"/>
  <c r="J21" i="7"/>
  <c r="K21" i="7"/>
  <c r="L21" i="7"/>
  <c r="L59" i="7" s="1"/>
  <c r="D21" i="7"/>
  <c r="C21" i="7"/>
  <c r="D35" i="7" s="1"/>
  <c r="E50" i="7"/>
  <c r="E51" i="7"/>
  <c r="E52" i="7"/>
  <c r="E53" i="7"/>
  <c r="E54" i="7"/>
  <c r="E55" i="7"/>
  <c r="E56" i="7"/>
  <c r="F50" i="7"/>
  <c r="G50" i="7"/>
  <c r="H50" i="7"/>
  <c r="I50" i="7"/>
  <c r="J50" i="7"/>
  <c r="F51" i="7"/>
  <c r="G51" i="7"/>
  <c r="H51" i="7"/>
  <c r="I51" i="7"/>
  <c r="J51" i="7"/>
  <c r="F52" i="7"/>
  <c r="G52" i="7"/>
  <c r="H52" i="7"/>
  <c r="I52" i="7"/>
  <c r="F53" i="7"/>
  <c r="G53" i="7"/>
  <c r="H53" i="7"/>
  <c r="F54" i="7"/>
  <c r="G54" i="7"/>
  <c r="F55" i="7"/>
  <c r="K50" i="7"/>
  <c r="C50" i="7"/>
  <c r="C51" i="7"/>
  <c r="C52" i="7"/>
  <c r="C53" i="7"/>
  <c r="C54" i="7"/>
  <c r="C55" i="7"/>
  <c r="C56" i="7"/>
  <c r="C57" i="7"/>
  <c r="C58" i="7"/>
  <c r="D50" i="7"/>
  <c r="D51" i="7"/>
  <c r="D52" i="7"/>
  <c r="D53" i="7"/>
  <c r="D54" i="7"/>
  <c r="D55" i="7"/>
  <c r="D56" i="7"/>
  <c r="D26" i="7"/>
  <c r="D27" i="7"/>
  <c r="D28" i="7"/>
  <c r="D29" i="7"/>
  <c r="D30" i="7"/>
  <c r="D31" i="7"/>
  <c r="D32" i="7"/>
  <c r="D33" i="7"/>
  <c r="D34" i="7"/>
  <c r="E26" i="7"/>
  <c r="E27" i="7"/>
  <c r="E28" i="7"/>
  <c r="E29" i="7"/>
  <c r="E30" i="7"/>
  <c r="E31" i="7"/>
  <c r="E32" i="7"/>
  <c r="E33" i="7"/>
  <c r="F26" i="7"/>
  <c r="F27" i="7"/>
  <c r="F28" i="7"/>
  <c r="F29" i="7"/>
  <c r="F30" i="7"/>
  <c r="F31" i="7"/>
  <c r="F32" i="7"/>
  <c r="G26" i="7"/>
  <c r="G27" i="7"/>
  <c r="G28" i="7"/>
  <c r="G29" i="7"/>
  <c r="G30" i="7"/>
  <c r="G31" i="7"/>
  <c r="H26" i="7"/>
  <c r="H27" i="7"/>
  <c r="H28" i="7"/>
  <c r="H29" i="7"/>
  <c r="H30" i="7"/>
  <c r="I26" i="7"/>
  <c r="I27" i="7"/>
  <c r="I28" i="7"/>
  <c r="I29" i="7"/>
  <c r="J26" i="7"/>
  <c r="J27" i="7"/>
  <c r="J28" i="7"/>
  <c r="K26" i="7"/>
  <c r="K27" i="7"/>
  <c r="L26" i="7"/>
  <c r="E12" i="7"/>
  <c r="F12" i="7"/>
  <c r="G12" i="7"/>
  <c r="H12" i="7"/>
  <c r="I12" i="7"/>
  <c r="J12" i="7"/>
  <c r="K12" i="7"/>
  <c r="E13" i="7"/>
  <c r="F13" i="7"/>
  <c r="G13" i="7"/>
  <c r="H13" i="7"/>
  <c r="I13" i="7"/>
  <c r="J13" i="7"/>
  <c r="E14" i="7"/>
  <c r="F14" i="7"/>
  <c r="G14" i="7"/>
  <c r="H14" i="7"/>
  <c r="I14" i="7"/>
  <c r="E15" i="7"/>
  <c r="F15" i="7"/>
  <c r="G15" i="7"/>
  <c r="H15" i="7"/>
  <c r="E16" i="7"/>
  <c r="F16" i="7"/>
  <c r="G16" i="7"/>
  <c r="E17" i="7"/>
  <c r="F17" i="7"/>
  <c r="E18" i="7"/>
  <c r="D12" i="7"/>
  <c r="D13" i="7"/>
  <c r="D14" i="7"/>
  <c r="D15" i="7"/>
  <c r="D16" i="7"/>
  <c r="D17" i="7"/>
  <c r="D18" i="7"/>
  <c r="D19" i="7"/>
  <c r="K59" i="7" l="1"/>
  <c r="K55" i="7"/>
  <c r="K53" i="7"/>
  <c r="K51" i="7"/>
  <c r="K58" i="7"/>
  <c r="K54" i="7"/>
  <c r="J55" i="7" s="1"/>
  <c r="K52" i="7"/>
  <c r="E34" i="7"/>
  <c r="K56" i="7"/>
  <c r="K57" i="7"/>
  <c r="D36" i="7"/>
  <c r="J59" i="7" l="1"/>
  <c r="J58" i="7"/>
  <c r="J53" i="7"/>
  <c r="J54" i="7"/>
  <c r="I55" i="7" s="1"/>
  <c r="J52" i="7"/>
  <c r="F33" i="7"/>
  <c r="J56" i="7"/>
  <c r="J57" i="7"/>
  <c r="E35" i="7"/>
  <c r="F34" i="7" s="1"/>
  <c r="E36" i="7"/>
  <c r="D39" i="7"/>
  <c r="D40" i="7" s="1"/>
  <c r="D42" i="7" s="1"/>
  <c r="I59" i="7" l="1"/>
  <c r="I58" i="7"/>
  <c r="I53" i="7"/>
  <c r="I54" i="7"/>
  <c r="H55" i="7" s="1"/>
  <c r="G33" i="7"/>
  <c r="F36" i="7"/>
  <c r="F35" i="7"/>
  <c r="G34" i="7" s="1"/>
  <c r="G32" i="7"/>
  <c r="I57" i="7"/>
  <c r="I56" i="7"/>
  <c r="E39" i="7"/>
  <c r="E40" i="7" s="1"/>
  <c r="E42" i="7" s="1"/>
  <c r="H59" i="7" l="1"/>
  <c r="H58" i="7"/>
  <c r="H32" i="7"/>
  <c r="H54" i="7"/>
  <c r="G55" i="7" s="1"/>
  <c r="F39" i="7"/>
  <c r="F40" i="7" s="1"/>
  <c r="F42" i="7" s="1"/>
  <c r="H33" i="7"/>
  <c r="H31" i="7"/>
  <c r="H57" i="7"/>
  <c r="H56" i="7"/>
  <c r="G36" i="7"/>
  <c r="G35" i="7"/>
  <c r="H34" i="7" s="1"/>
  <c r="G59" i="7" l="1"/>
  <c r="G58" i="7"/>
  <c r="I31" i="7"/>
  <c r="I32" i="7"/>
  <c r="I33" i="7"/>
  <c r="G57" i="7"/>
  <c r="F58" i="7" s="1"/>
  <c r="G56" i="7"/>
  <c r="I30" i="7"/>
  <c r="H35" i="7"/>
  <c r="I34" i="7" s="1"/>
  <c r="H36" i="7"/>
  <c r="G39" i="7"/>
  <c r="G40" i="7" s="1"/>
  <c r="G42" i="7" s="1"/>
  <c r="F59" i="7" l="1"/>
  <c r="E59" i="7" s="1"/>
  <c r="F57" i="7"/>
  <c r="E58" i="7" s="1"/>
  <c r="F56" i="7"/>
  <c r="J30" i="7"/>
  <c r="J31" i="7"/>
  <c r="J32" i="7"/>
  <c r="J33" i="7"/>
  <c r="H39" i="7"/>
  <c r="H40" i="7" s="1"/>
  <c r="H42" i="7" s="1"/>
  <c r="I35" i="7"/>
  <c r="J34" i="7" s="1"/>
  <c r="I36" i="7"/>
  <c r="J29" i="7"/>
  <c r="H28" i="19" l="1"/>
  <c r="H30" i="19" s="1"/>
  <c r="D59" i="7"/>
  <c r="E57" i="7"/>
  <c r="D58" i="7" s="1"/>
  <c r="K30" i="7"/>
  <c r="K31" i="7"/>
  <c r="K32" i="7"/>
  <c r="K33" i="7"/>
  <c r="I39" i="7"/>
  <c r="I40" i="7" s="1"/>
  <c r="I42" i="7" s="1"/>
  <c r="K28" i="7"/>
  <c r="K29" i="7"/>
  <c r="J36" i="7"/>
  <c r="J35" i="7"/>
  <c r="K34" i="7" s="1"/>
  <c r="C59" i="7" l="1"/>
  <c r="C67" i="7" s="1"/>
  <c r="L30" i="7"/>
  <c r="L33" i="7"/>
  <c r="L32" i="7"/>
  <c r="L31" i="7"/>
  <c r="L27" i="7"/>
  <c r="K36" i="7"/>
  <c r="K35" i="7"/>
  <c r="L34" i="7" s="1"/>
  <c r="L28" i="7"/>
  <c r="L29" i="7"/>
  <c r="J39" i="7"/>
  <c r="J40" i="7" s="1"/>
  <c r="J42" i="7" s="1"/>
  <c r="M33" i="7" l="1"/>
  <c r="M32" i="7"/>
  <c r="M31" i="7"/>
  <c r="M30" i="7"/>
  <c r="M27" i="7"/>
  <c r="L36" i="7"/>
  <c r="L35" i="7"/>
  <c r="M34" i="7" s="1"/>
  <c r="M26" i="7"/>
  <c r="M28" i="7"/>
  <c r="M29" i="7"/>
  <c r="K39" i="7"/>
  <c r="K40" i="7" s="1"/>
  <c r="K42" i="7" s="1"/>
  <c r="L39" i="7" l="1"/>
  <c r="L40" i="7" s="1"/>
  <c r="L42" i="7" s="1"/>
  <c r="M35" i="7"/>
  <c r="M36" i="7"/>
  <c r="M39" i="7" l="1"/>
  <c r="M40" i="7" s="1"/>
  <c r="M42" i="7" s="1"/>
  <c r="D43" i="7" l="1"/>
</calcChain>
</file>

<file path=xl/comments1.xml><?xml version="1.0" encoding="utf-8"?>
<comments xmlns="http://schemas.openxmlformats.org/spreadsheetml/2006/main">
  <authors>
    <author>mhaugh</author>
  </authors>
  <commentList>
    <comment ref="B6" authorId="0" shapeId="0">
      <text>
        <r>
          <rPr>
            <b/>
            <sz val="8"/>
            <color indexed="81"/>
            <rFont val="Tahoma"/>
            <family val="2"/>
          </rPr>
          <t>Fixing the volatility parameter, b. This is not a good idea if we wish to use the model to price fixed derivatives that are sensitive to volatility, e.g. swaptions.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43" authorId="0" shapeId="0">
      <text>
        <r>
          <rPr>
            <b/>
            <sz val="8"/>
            <color indexed="81"/>
            <rFont val="Tahoma"/>
            <family val="2"/>
          </rPr>
          <t>Now use Solver to match the term structure of zero prices by setting the objective function to 0 and by varying cells C5 to P5.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<sst xmlns="http://schemas.openxmlformats.org/spreadsheetml/2006/main" count="111" uniqueCount="71">
  <si>
    <t>r(0,0)</t>
  </si>
  <si>
    <t>u</t>
  </si>
  <si>
    <t>d</t>
  </si>
  <si>
    <t>q</t>
  </si>
  <si>
    <t>1-q</t>
  </si>
  <si>
    <t xml:space="preserve"> </t>
  </si>
  <si>
    <t>Elementary Prices</t>
  </si>
  <si>
    <t>Year</t>
  </si>
  <si>
    <t>a</t>
  </si>
  <si>
    <t>Short Rate Lattice</t>
  </si>
  <si>
    <t>b</t>
  </si>
  <si>
    <t>Objective Function</t>
  </si>
  <si>
    <t>Squared Differences</t>
  </si>
  <si>
    <t>Fitting the Term-Structure of Zero Bond Prices in the Black-Derman-Toy Model</t>
  </si>
  <si>
    <t>Fixed Rate</t>
  </si>
  <si>
    <t>Option Expiration</t>
  </si>
  <si>
    <t>Swap Maturity</t>
  </si>
  <si>
    <t>Option strike</t>
  </si>
  <si>
    <t xml:space="preserve"> This is fixed but could easily be made variable</t>
  </si>
  <si>
    <t>Note that the values at a node are the discounted values of the nodes 1 period ahead. We therefore start from t=9 even though final payoff occurs at t=10</t>
  </si>
  <si>
    <t>Pricing a Payer Swaption</t>
  </si>
  <si>
    <t>Principal in $m</t>
  </si>
  <si>
    <t>(Strike is commonly 0)</t>
  </si>
  <si>
    <t>Short-Rate Lattice</t>
  </si>
  <si>
    <t>Term Structure Lattice</t>
  </si>
  <si>
    <t>BDT Model ZCB Prices</t>
  </si>
  <si>
    <t>BDT Model Spot Rates</t>
  </si>
  <si>
    <t>Market Spot Rates</t>
  </si>
  <si>
    <t>First payment of underlying swap at t=4 (based on t=3 spot rate) and final payment at t=10</t>
  </si>
  <si>
    <t>Swaption Price, t=0</t>
  </si>
  <si>
    <t>Hazard rate</t>
  </si>
  <si>
    <t>1-step Hazard rate</t>
  </si>
  <si>
    <t xml:space="preserve"> Default Hazard</t>
  </si>
  <si>
    <t>R</t>
  </si>
  <si>
    <t>Default</t>
  </si>
  <si>
    <t>Undefault Bond price</t>
  </si>
  <si>
    <t>Interest rate</t>
  </si>
  <si>
    <t xml:space="preserve">1yr bond: c = 5%, R= 10% </t>
  </si>
  <si>
    <t xml:space="preserve">2yr bond: c = 8%, R= 25% </t>
  </si>
  <si>
    <t xml:space="preserve">3yr bond: c = 5%, R= 50% </t>
  </si>
  <si>
    <t xml:space="preserve">4yr bond: c = 5%, R=10% </t>
  </si>
  <si>
    <t>5yr bond: c=10%, R=20%</t>
  </si>
  <si>
    <t>Time</t>
  </si>
  <si>
    <t>Survival probability</t>
  </si>
  <si>
    <t>Default probabilty</t>
  </si>
  <si>
    <t>Discount rate</t>
  </si>
  <si>
    <t xml:space="preserve">Coupon+Face </t>
  </si>
  <si>
    <t>Recovery</t>
  </si>
  <si>
    <t>Discounted Expected value</t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</si>
  <si>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</si>
  <si>
    <t>Model Price</t>
  </si>
  <si>
    <t>True Price</t>
  </si>
  <si>
    <t>Error</t>
  </si>
  <si>
    <t>Sum Error</t>
  </si>
  <si>
    <t xml:space="preserve">Spread </t>
  </si>
  <si>
    <t>Principal</t>
  </si>
  <si>
    <t xml:space="preserve">Interest </t>
  </si>
  <si>
    <t>Month</t>
  </si>
  <si>
    <t>Discount</t>
  </si>
  <si>
    <t>Survival probability (%)</t>
  </si>
  <si>
    <t>Fixed payment</t>
  </si>
  <si>
    <t>Expected value of premium (ExD)</t>
  </si>
  <si>
    <t>PV of premium (NxFxB)</t>
  </si>
  <si>
    <t>Default Prob. (%)</t>
  </si>
  <si>
    <t>Accrued interest (E/2xG)</t>
  </si>
  <si>
    <t>PV of accrued interest (NxIxB)</t>
  </si>
  <si>
    <t>Expected Protection payment (1-R)H</t>
  </si>
  <si>
    <t>PV of expected protection payment (NxKxB)</t>
  </si>
  <si>
    <t>Premium Leg</t>
  </si>
  <si>
    <t>Protection Leg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</si>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</sst>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71" formatCode="0.0"/>
  </numFmts>
  <fonts count="13" x14ac:knownFonts="1">
    <font>
      <sz val="10"/>
      <name val="Times New Roman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indexed="5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165" fontId="3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5" fillId="0" borderId="0" xfId="0" applyNumberFormat="1" applyFont="1"/>
    <xf numFmtId="164" fontId="6" fillId="0" borderId="0" xfId="0" applyNumberFormat="1" applyFont="1"/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" fontId="0" fillId="0" borderId="0" xfId="0" applyNumberFormat="1" applyBorder="1"/>
    <xf numFmtId="10" fontId="2" fillId="0" borderId="0" xfId="0" applyNumberFormat="1" applyFont="1" applyBorder="1"/>
    <xf numFmtId="10" fontId="0" fillId="0" borderId="0" xfId="0" applyNumberFormat="1" applyBorder="1"/>
    <xf numFmtId="0" fontId="2" fillId="5" borderId="15" xfId="0" applyFont="1" applyFill="1" applyBorder="1"/>
    <xf numFmtId="0" fontId="2" fillId="5" borderId="3" xfId="0" applyFont="1" applyFill="1" applyBorder="1"/>
    <xf numFmtId="0" fontId="2" fillId="5" borderId="5" xfId="0" applyFont="1" applyFill="1" applyBorder="1"/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12" xfId="0" applyBorder="1"/>
    <xf numFmtId="2" fontId="2" fillId="0" borderId="5" xfId="0" applyNumberFormat="1" applyFont="1" applyBorder="1"/>
    <xf numFmtId="2" fontId="3" fillId="0" borderId="14" xfId="0" applyNumberFormat="1" applyFont="1" applyBorder="1"/>
    <xf numFmtId="165" fontId="2" fillId="0" borderId="16" xfId="0" applyNumberFormat="1" applyFont="1" applyBorder="1"/>
    <xf numFmtId="165" fontId="3" fillId="0" borderId="17" xfId="0" applyNumberFormat="1" applyFont="1" applyBorder="1"/>
    <xf numFmtId="0" fontId="0" fillId="3" borderId="1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2" fontId="0" fillId="6" borderId="12" xfId="0" applyNumberFormat="1" applyFill="1" applyBorder="1" applyAlignment="1">
      <alignment horizontal="center"/>
    </xf>
    <xf numFmtId="0" fontId="2" fillId="2" borderId="7" xfId="0" quotePrefix="1" applyFont="1" applyFill="1" applyBorder="1" applyAlignment="1">
      <alignment horizontal="center"/>
    </xf>
    <xf numFmtId="0" fontId="2" fillId="2" borderId="8" xfId="0" quotePrefix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2" fontId="0" fillId="6" borderId="18" xfId="0" applyNumberFormat="1" applyFill="1" applyBorder="1" applyAlignment="1">
      <alignment horizontal="center"/>
    </xf>
    <xf numFmtId="165" fontId="3" fillId="0" borderId="21" xfId="0" applyNumberFormat="1" applyFont="1" applyBorder="1"/>
    <xf numFmtId="2" fontId="3" fillId="0" borderId="22" xfId="0" applyNumberFormat="1" applyFont="1" applyBorder="1"/>
    <xf numFmtId="0" fontId="0" fillId="0" borderId="18" xfId="0" applyBorder="1"/>
    <xf numFmtId="165" fontId="2" fillId="2" borderId="0" xfId="0" applyNumberFormat="1" applyFont="1" applyFill="1" applyBorder="1" applyAlignment="1">
      <alignment horizontal="center"/>
    </xf>
    <xf numFmtId="165" fontId="0" fillId="0" borderId="0" xfId="0" applyNumberFormat="1" applyBorder="1"/>
    <xf numFmtId="10" fontId="3" fillId="0" borderId="0" xfId="0" applyNumberFormat="1" applyFont="1" applyBorder="1"/>
    <xf numFmtId="0" fontId="3" fillId="0" borderId="0" xfId="1" applyNumberFormat="1" applyFont="1" applyBorder="1"/>
    <xf numFmtId="0" fontId="3" fillId="0" borderId="0" xfId="0" applyNumberFormat="1" applyFont="1" applyBorder="1"/>
    <xf numFmtId="0" fontId="11" fillId="0" borderId="0" xfId="0" applyFont="1" applyBorder="1"/>
    <xf numFmtId="2" fontId="11" fillId="0" borderId="0" xfId="0" applyNumberFormat="1" applyFont="1" applyBorder="1"/>
    <xf numFmtId="164" fontId="11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2" fontId="11" fillId="0" borderId="0" xfId="0" applyNumberFormat="1" applyFont="1" applyAlignment="1">
      <alignment wrapText="1"/>
    </xf>
    <xf numFmtId="164" fontId="11" fillId="0" borderId="0" xfId="0" applyNumberFormat="1" applyFont="1" applyBorder="1"/>
    <xf numFmtId="0" fontId="11" fillId="0" borderId="0" xfId="0" applyFont="1"/>
    <xf numFmtId="11" fontId="0" fillId="7" borderId="0" xfId="0" applyNumberFormat="1" applyFill="1"/>
    <xf numFmtId="2" fontId="0" fillId="4" borderId="23" xfId="0" applyNumberFormat="1" applyFill="1" applyBorder="1"/>
    <xf numFmtId="3" fontId="0" fillId="0" borderId="0" xfId="0" applyNumberFormat="1"/>
    <xf numFmtId="3" fontId="0" fillId="4" borderId="23" xfId="0" applyNumberFormat="1" applyFill="1" applyBorder="1"/>
    <xf numFmtId="0" fontId="11" fillId="0" borderId="0" xfId="0" applyFont="1" applyBorder="1" applyAlignment="1">
      <alignment wrapText="1"/>
    </xf>
    <xf numFmtId="165" fontId="11" fillId="0" borderId="0" xfId="0" applyNumberFormat="1" applyFont="1" applyBorder="1" applyAlignment="1">
      <alignment wrapText="1"/>
    </xf>
    <xf numFmtId="0" fontId="0" fillId="0" borderId="0" xfId="0" applyAlignment="1">
      <alignment horizontal="center" wrapText="1"/>
    </xf>
    <xf numFmtId="171" fontId="0" fillId="0" borderId="0" xfId="0" applyNumberFormat="1"/>
    <xf numFmtId="4" fontId="0" fillId="0" borderId="0" xfId="0" applyNumberFormat="1"/>
    <xf numFmtId="0" fontId="11" fillId="0" borderId="0" xfId="0" applyFont="1" applyBorder="1" applyAlignment="1"/>
    <xf numFmtId="0" fontId="0" fillId="0" borderId="0" xfId="0" applyNumberFormat="1"/>
    <xf numFmtId="11" fontId="0" fillId="0" borderId="0" xfId="0" applyNumberFormat="1"/>
  </cellXfs>
  <cellStyles count="10">
    <cellStyle name="Followed Hyperlink" xfId="5" builtinId="9" hidden="1"/>
    <cellStyle name="Followed Hyperlink" xfId="7" builtinId="9" hidden="1"/>
    <cellStyle name="Followed Hyperlink" xfId="9" builtinId="9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Percent" xfId="1" builtinId="5"/>
    <cellStyle name="Percent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nds_and_cds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"/>
      <sheetName val="Calibration"/>
      <sheetName val="CDS pricing"/>
    </sheetNames>
    <sheetDataSet>
      <sheetData sheetId="0" refreshError="1"/>
      <sheetData sheetId="1">
        <row r="6">
          <cell r="A6">
            <v>2.014057304019802E-2</v>
          </cell>
        </row>
        <row r="8">
          <cell r="A8">
            <v>1.9443103338662979E-2</v>
          </cell>
        </row>
        <row r="9">
          <cell r="A9">
            <v>1.9443103338662979E-2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S107"/>
  <sheetViews>
    <sheetView showGridLines="0" topLeftCell="A46" zoomScaleNormal="100" zoomScalePageLayoutView="130" workbookViewId="0">
      <selection activeCell="D43" sqref="D43"/>
    </sheetView>
  </sheetViews>
  <sheetFormatPr defaultColWidth="8.83203125" defaultRowHeight="12.75" x14ac:dyDescent="0.2"/>
  <cols>
    <col min="1" max="1" width="10.6640625" customWidth="1"/>
    <col min="3" max="3" width="9.6640625" bestFit="1" customWidth="1"/>
    <col min="4" max="4" width="12.5" bestFit="1" customWidth="1"/>
    <col min="5" max="5" width="9.6640625" bestFit="1" customWidth="1"/>
  </cols>
  <sheetData>
    <row r="1" spans="1:16" ht="13.5" thickBot="1" x14ac:dyDescent="0.25">
      <c r="A1" s="53" t="s">
        <v>13</v>
      </c>
      <c r="B1" s="54"/>
      <c r="C1" s="54"/>
      <c r="D1" s="54"/>
      <c r="E1" s="54"/>
      <c r="F1" s="54"/>
      <c r="G1" s="54"/>
      <c r="H1" s="55"/>
    </row>
    <row r="2" spans="1:16" ht="13.5" thickBot="1" x14ac:dyDescent="0.25"/>
    <row r="3" spans="1:16" x14ac:dyDescent="0.2">
      <c r="A3" s="56" t="s">
        <v>7</v>
      </c>
      <c r="B3" s="57"/>
      <c r="C3" s="43">
        <v>1</v>
      </c>
      <c r="D3" s="43">
        <v>2</v>
      </c>
      <c r="E3" s="43">
        <v>3</v>
      </c>
      <c r="F3" s="43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  <c r="L3" s="62">
        <v>10</v>
      </c>
    </row>
    <row r="4" spans="1:16" ht="13.5" thickBot="1" x14ac:dyDescent="0.25">
      <c r="A4" s="58" t="s">
        <v>27</v>
      </c>
      <c r="B4" s="59"/>
      <c r="C4" s="44">
        <v>3</v>
      </c>
      <c r="D4" s="44">
        <v>3.1</v>
      </c>
      <c r="E4" s="44">
        <v>3.2</v>
      </c>
      <c r="F4" s="44">
        <v>3.3</v>
      </c>
      <c r="G4" s="44">
        <v>3.4</v>
      </c>
      <c r="H4" s="44">
        <v>3.5</v>
      </c>
      <c r="I4" s="44">
        <v>3.55</v>
      </c>
      <c r="J4" s="44">
        <v>3.6</v>
      </c>
      <c r="K4" s="45">
        <v>3.65</v>
      </c>
      <c r="L4" s="63">
        <v>3.7</v>
      </c>
    </row>
    <row r="5" spans="1:16" ht="13.5" thickBot="1" x14ac:dyDescent="0.25">
      <c r="A5" s="60" t="s">
        <v>8</v>
      </c>
      <c r="B5" s="61"/>
      <c r="C5" s="46">
        <v>2.99999805472534</v>
      </c>
      <c r="D5" s="47">
        <v>3.0404610008313311</v>
      </c>
      <c r="E5" s="47">
        <v>3.0697721879791326</v>
      </c>
      <c r="F5" s="47">
        <v>3.0890097196837396</v>
      </c>
      <c r="G5" s="47">
        <v>3.0991488300280272</v>
      </c>
      <c r="H5" s="47">
        <v>3.1011088303828331</v>
      </c>
      <c r="I5" s="47">
        <v>2.8366357743024513</v>
      </c>
      <c r="J5" s="47">
        <v>2.7668990662435236</v>
      </c>
      <c r="K5" s="47">
        <v>2.6973794415341317</v>
      </c>
      <c r="L5" s="64">
        <v>2.6284695731448364</v>
      </c>
    </row>
    <row r="6" spans="1:16" x14ac:dyDescent="0.2">
      <c r="A6" s="32" t="s">
        <v>10</v>
      </c>
      <c r="B6" s="22">
        <v>0.1</v>
      </c>
    </row>
    <row r="7" spans="1:16" x14ac:dyDescent="0.2">
      <c r="A7" s="33" t="s">
        <v>3</v>
      </c>
      <c r="B7" s="35">
        <v>0.5</v>
      </c>
    </row>
    <row r="8" spans="1:16" ht="13.5" thickBot="1" x14ac:dyDescent="0.25">
      <c r="A8" s="34" t="s">
        <v>4</v>
      </c>
      <c r="B8" s="23">
        <f>1-B7</f>
        <v>0.5</v>
      </c>
      <c r="C8" t="s">
        <v>5</v>
      </c>
    </row>
    <row r="9" spans="1:16" ht="13.5" thickBot="1" x14ac:dyDescent="0.25"/>
    <row r="10" spans="1:16" ht="13.5" thickBot="1" x14ac:dyDescent="0.25">
      <c r="A10" s="53" t="s">
        <v>9</v>
      </c>
      <c r="B10" s="5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">
      <c r="A11" s="11"/>
      <c r="B11" s="11"/>
      <c r="C11" s="11">
        <v>0</v>
      </c>
      <c r="D11" s="11">
        <v>1</v>
      </c>
      <c r="E11" s="11">
        <v>2</v>
      </c>
      <c r="F11" s="11">
        <v>3</v>
      </c>
      <c r="G11" s="11">
        <v>4</v>
      </c>
      <c r="H11" s="11">
        <v>5</v>
      </c>
      <c r="I11" s="11">
        <v>6</v>
      </c>
      <c r="J11" s="11">
        <v>7</v>
      </c>
      <c r="K11" s="11">
        <v>8</v>
      </c>
      <c r="L11" s="11">
        <v>9</v>
      </c>
      <c r="M11" s="11"/>
      <c r="N11" s="11"/>
      <c r="O11" s="11"/>
      <c r="P11" s="11"/>
    </row>
    <row r="12" spans="1:16" x14ac:dyDescent="0.2">
      <c r="A12" s="11"/>
      <c r="B12" s="11">
        <v>9</v>
      </c>
      <c r="C12" s="3"/>
      <c r="D12" s="3" t="str">
        <f t="shared" ref="D12:L21" si="0">IF( $B12 &lt;=D$11,D$5*EXP($B$6*$B12),"")</f>
        <v/>
      </c>
      <c r="E12" s="3" t="str">
        <f t="shared" si="0"/>
        <v/>
      </c>
      <c r="F12" s="3" t="str">
        <f t="shared" si="0"/>
        <v/>
      </c>
      <c r="G12" s="3" t="str">
        <f t="shared" si="0"/>
        <v/>
      </c>
      <c r="H12" s="3" t="str">
        <f t="shared" si="0"/>
        <v/>
      </c>
      <c r="I12" s="3" t="str">
        <f t="shared" si="0"/>
        <v/>
      </c>
      <c r="J12" s="3" t="str">
        <f t="shared" si="0"/>
        <v/>
      </c>
      <c r="K12" s="3" t="str">
        <f t="shared" si="0"/>
        <v/>
      </c>
      <c r="L12" s="3">
        <f t="shared" si="0"/>
        <v>6.4649919396884199</v>
      </c>
      <c r="M12" s="3"/>
      <c r="N12" s="3"/>
      <c r="O12" s="3"/>
      <c r="P12" s="3"/>
    </row>
    <row r="13" spans="1:16" x14ac:dyDescent="0.2">
      <c r="A13" s="11"/>
      <c r="B13" s="11">
        <v>8</v>
      </c>
      <c r="C13" s="3"/>
      <c r="D13" s="3" t="str">
        <f t="shared" si="0"/>
        <v/>
      </c>
      <c r="E13" s="3" t="str">
        <f t="shared" si="0"/>
        <v/>
      </c>
      <c r="F13" s="3" t="str">
        <f t="shared" si="0"/>
        <v/>
      </c>
      <c r="G13" s="3" t="str">
        <f t="shared" si="0"/>
        <v/>
      </c>
      <c r="H13" s="3" t="str">
        <f t="shared" si="0"/>
        <v/>
      </c>
      <c r="I13" s="3" t="str">
        <f t="shared" si="0"/>
        <v/>
      </c>
      <c r="J13" s="3" t="str">
        <f t="shared" si="0"/>
        <v/>
      </c>
      <c r="K13" s="3">
        <f t="shared" si="0"/>
        <v>6.0031283468083663</v>
      </c>
      <c r="L13" s="3">
        <f t="shared" si="0"/>
        <v>5.8497666143309601</v>
      </c>
      <c r="M13" s="3"/>
      <c r="N13" s="3"/>
      <c r="O13" s="3"/>
      <c r="P13" s="3"/>
    </row>
    <row r="14" spans="1:16" x14ac:dyDescent="0.2">
      <c r="A14" s="11"/>
      <c r="B14" s="11">
        <v>7</v>
      </c>
      <c r="C14" s="3"/>
      <c r="D14" s="3" t="str">
        <f t="shared" si="0"/>
        <v/>
      </c>
      <c r="E14" s="3" t="str">
        <f t="shared" si="0"/>
        <v/>
      </c>
      <c r="F14" s="3" t="str">
        <f t="shared" si="0"/>
        <v/>
      </c>
      <c r="G14" s="3" t="str">
        <f t="shared" si="0"/>
        <v/>
      </c>
      <c r="H14" s="3" t="str">
        <f t="shared" si="0"/>
        <v/>
      </c>
      <c r="I14" s="3" t="str">
        <f t="shared" si="0"/>
        <v/>
      </c>
      <c r="J14" s="3">
        <f t="shared" si="0"/>
        <v>5.5718504859454292</v>
      </c>
      <c r="K14" s="3">
        <f t="shared" si="0"/>
        <v>5.4318551534645598</v>
      </c>
      <c r="L14" s="3">
        <f t="shared" si="0"/>
        <v>5.2930877194241823</v>
      </c>
      <c r="M14" s="3"/>
      <c r="N14" s="3"/>
      <c r="O14" s="3"/>
      <c r="P14" s="3"/>
    </row>
    <row r="15" spans="1:16" x14ac:dyDescent="0.2">
      <c r="A15" s="11"/>
      <c r="B15" s="11">
        <v>6</v>
      </c>
      <c r="C15" s="3"/>
      <c r="D15" s="3" t="str">
        <f t="shared" si="0"/>
        <v/>
      </c>
      <c r="E15" s="3" t="str">
        <f t="shared" si="0"/>
        <v/>
      </c>
      <c r="F15" s="3" t="str">
        <f t="shared" si="0"/>
        <v/>
      </c>
      <c r="G15" s="3" t="str">
        <f t="shared" si="0"/>
        <v/>
      </c>
      <c r="H15" s="3" t="str">
        <f t="shared" si="0"/>
        <v/>
      </c>
      <c r="I15" s="3">
        <f t="shared" si="0"/>
        <v>5.1686873742167858</v>
      </c>
      <c r="J15" s="3">
        <f t="shared" si="0"/>
        <v>5.0416188073852686</v>
      </c>
      <c r="K15" s="3">
        <f t="shared" si="0"/>
        <v>4.9149457922061934</v>
      </c>
      <c r="L15" s="3">
        <f t="shared" si="0"/>
        <v>4.7893838254816226</v>
      </c>
      <c r="M15" s="3"/>
      <c r="N15" s="3"/>
      <c r="O15" s="3"/>
      <c r="P15" s="3"/>
    </row>
    <row r="16" spans="1:16" x14ac:dyDescent="0.2">
      <c r="A16" s="11"/>
      <c r="B16" s="11">
        <v>5</v>
      </c>
      <c r="C16" s="3"/>
      <c r="D16" s="3" t="str">
        <f t="shared" si="0"/>
        <v/>
      </c>
      <c r="E16" s="3" t="str">
        <f t="shared" si="0"/>
        <v/>
      </c>
      <c r="F16" s="3" t="str">
        <f t="shared" si="0"/>
        <v/>
      </c>
      <c r="G16" s="3" t="str">
        <f t="shared" si="0"/>
        <v/>
      </c>
      <c r="H16" s="3">
        <f t="shared" si="0"/>
        <v>5.1128640914081727</v>
      </c>
      <c r="I16" s="3">
        <f t="shared" si="0"/>
        <v>4.6768217383213795</v>
      </c>
      <c r="J16" s="3">
        <f t="shared" si="0"/>
        <v>4.5618453443960201</v>
      </c>
      <c r="K16" s="3">
        <f t="shared" si="0"/>
        <v>4.4472268604065555</v>
      </c>
      <c r="L16" s="3">
        <f t="shared" si="0"/>
        <v>4.3336136946319783</v>
      </c>
      <c r="M16" s="3"/>
      <c r="N16" s="3"/>
      <c r="O16" s="3"/>
      <c r="P16" s="3"/>
    </row>
    <row r="17" spans="1:17" x14ac:dyDescent="0.2">
      <c r="A17" s="11"/>
      <c r="B17" s="11">
        <v>4</v>
      </c>
      <c r="C17" s="3"/>
      <c r="D17" s="3" t="str">
        <f t="shared" si="0"/>
        <v/>
      </c>
      <c r="E17" s="3" t="str">
        <f t="shared" si="0"/>
        <v/>
      </c>
      <c r="F17" s="3" t="str">
        <f t="shared" si="0"/>
        <v/>
      </c>
      <c r="G17" s="3">
        <f t="shared" si="0"/>
        <v>4.6233867663018584</v>
      </c>
      <c r="H17" s="3">
        <f t="shared" si="0"/>
        <v>4.6263107432385437</v>
      </c>
      <c r="I17" s="3">
        <f t="shared" si="0"/>
        <v>4.2317633063171654</v>
      </c>
      <c r="J17" s="3">
        <f t="shared" si="0"/>
        <v>4.1277283629026575</v>
      </c>
      <c r="K17" s="3">
        <f t="shared" si="0"/>
        <v>4.0240172697904351</v>
      </c>
      <c r="L17" s="3">
        <f t="shared" si="0"/>
        <v>3.9212158262160743</v>
      </c>
      <c r="M17" s="3"/>
      <c r="N17" s="3"/>
      <c r="O17" s="3"/>
      <c r="P17" s="3"/>
    </row>
    <row r="18" spans="1:17" x14ac:dyDescent="0.2">
      <c r="A18" s="11"/>
      <c r="B18" s="11">
        <v>3</v>
      </c>
      <c r="C18" s="3"/>
      <c r="D18" s="3" t="str">
        <f t="shared" si="0"/>
        <v/>
      </c>
      <c r="E18" s="3" t="str">
        <f t="shared" si="0"/>
        <v/>
      </c>
      <c r="F18" s="3">
        <f t="shared" si="0"/>
        <v>4.169726976802977</v>
      </c>
      <c r="G18" s="3">
        <f t="shared" si="0"/>
        <v>4.1834133442021981</v>
      </c>
      <c r="H18" s="3">
        <f t="shared" si="0"/>
        <v>4.1860590679439849</v>
      </c>
      <c r="I18" s="3">
        <f t="shared" si="0"/>
        <v>3.8290577838273392</v>
      </c>
      <c r="J18" s="3">
        <f t="shared" si="0"/>
        <v>3.7349230742426394</v>
      </c>
      <c r="K18" s="3">
        <f t="shared" si="0"/>
        <v>3.6410813965292883</v>
      </c>
      <c r="L18" s="3">
        <f t="shared" si="0"/>
        <v>3.5480628037550952</v>
      </c>
      <c r="M18" s="3"/>
      <c r="N18" s="3"/>
      <c r="O18" s="3"/>
      <c r="P18" s="3"/>
    </row>
    <row r="19" spans="1:17" x14ac:dyDescent="0.2">
      <c r="A19" s="11"/>
      <c r="B19" s="11">
        <v>2</v>
      </c>
      <c r="C19" s="3"/>
      <c r="D19" s="3" t="str">
        <f t="shared" si="0"/>
        <v/>
      </c>
      <c r="E19" s="3">
        <f t="shared" si="0"/>
        <v>3.7494282173210922</v>
      </c>
      <c r="F19" s="3">
        <f t="shared" si="0"/>
        <v>3.7729249916052927</v>
      </c>
      <c r="G19" s="3">
        <f t="shared" si="0"/>
        <v>3.7853089289450961</v>
      </c>
      <c r="H19" s="3">
        <f t="shared" si="0"/>
        <v>3.7877028787844509</v>
      </c>
      <c r="I19" s="3">
        <f t="shared" si="0"/>
        <v>3.4646747586288229</v>
      </c>
      <c r="J19" s="3">
        <f t="shared" si="0"/>
        <v>3.3794981510606381</v>
      </c>
      <c r="K19" s="3">
        <f t="shared" si="0"/>
        <v>3.2945866896943272</v>
      </c>
      <c r="L19" s="3">
        <f t="shared" si="0"/>
        <v>3.2104199863791876</v>
      </c>
      <c r="M19" s="3"/>
      <c r="N19" s="3"/>
      <c r="O19" s="3"/>
      <c r="P19" s="3"/>
    </row>
    <row r="20" spans="1:17" x14ac:dyDescent="0.2">
      <c r="A20" s="11"/>
      <c r="B20" s="11">
        <v>1</v>
      </c>
      <c r="C20" s="3"/>
      <c r="D20" s="3">
        <f t="shared" si="0"/>
        <v>3.360229075661965</v>
      </c>
      <c r="E20" s="3">
        <f t="shared" si="0"/>
        <v>3.3926229472719878</v>
      </c>
      <c r="F20" s="3">
        <f t="shared" si="0"/>
        <v>3.4138837078474777</v>
      </c>
      <c r="G20" s="3">
        <f t="shared" si="0"/>
        <v>3.4250891577351443</v>
      </c>
      <c r="H20" s="3">
        <f t="shared" si="0"/>
        <v>3.4272552931266937</v>
      </c>
      <c r="I20" s="3">
        <f t="shared" si="0"/>
        <v>3.1349673629320658</v>
      </c>
      <c r="J20" s="3">
        <f t="shared" si="0"/>
        <v>3.0578963812630073</v>
      </c>
      <c r="K20" s="3">
        <f t="shared" si="0"/>
        <v>2.9810653137986542</v>
      </c>
      <c r="L20" s="3">
        <f t="shared" si="0"/>
        <v>2.9049081312863847</v>
      </c>
      <c r="M20" s="3"/>
      <c r="N20" s="3"/>
      <c r="O20" s="3"/>
      <c r="P20" s="3"/>
    </row>
    <row r="21" spans="1:17" x14ac:dyDescent="0.2">
      <c r="A21" s="11"/>
      <c r="B21" s="11">
        <v>0</v>
      </c>
      <c r="C21" s="3">
        <f>IF( $B21 &lt;=C$11,(C$5+$B$6*$B21),"")</f>
        <v>2.99999805472534</v>
      </c>
      <c r="D21" s="2">
        <f t="shared" si="0"/>
        <v>3.0404610008313311</v>
      </c>
      <c r="E21" s="3">
        <f t="shared" si="0"/>
        <v>3.0697721879791326</v>
      </c>
      <c r="F21" s="3">
        <f t="shared" si="0"/>
        <v>3.0890097196837396</v>
      </c>
      <c r="G21" s="3">
        <f t="shared" si="0"/>
        <v>3.0991488300280272</v>
      </c>
      <c r="H21" s="3">
        <f t="shared" si="0"/>
        <v>3.1011088303828331</v>
      </c>
      <c r="I21" s="3">
        <f t="shared" si="0"/>
        <v>2.8366357743024513</v>
      </c>
      <c r="J21" s="3">
        <f t="shared" si="0"/>
        <v>2.7668990662435236</v>
      </c>
      <c r="K21" s="3">
        <f t="shared" si="0"/>
        <v>2.6973794415341317</v>
      </c>
      <c r="L21" s="3">
        <f t="shared" si="0"/>
        <v>2.6284695731448364</v>
      </c>
      <c r="M21" s="3"/>
      <c r="N21" s="3"/>
      <c r="O21" s="3"/>
      <c r="P21" s="3"/>
    </row>
    <row r="23" spans="1:17" ht="13.5" thickBot="1" x14ac:dyDescent="0.25"/>
    <row r="24" spans="1:17" ht="13.5" thickBot="1" x14ac:dyDescent="0.25">
      <c r="A24" s="53" t="s">
        <v>6</v>
      </c>
      <c r="B24" s="55"/>
    </row>
    <row r="25" spans="1:17" x14ac:dyDescent="0.2"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K25">
        <v>8</v>
      </c>
      <c r="L25">
        <v>9</v>
      </c>
      <c r="M25">
        <v>10</v>
      </c>
    </row>
    <row r="26" spans="1:17" x14ac:dyDescent="0.2">
      <c r="B26">
        <v>10</v>
      </c>
      <c r="C26" s="7"/>
      <c r="D26" s="7" t="str">
        <f>IF($B26=0,$B$8*C26/(1+#REF!/100), IF($B26=D$25, $B$7*C27/(1 +C12/100 ), IF(AND(0 &lt; $B26, $B26 &lt; D$25), $B$7*C27/(1+C12/100) + $B$8*C26/(1+#REF!/100 ),"")))</f>
        <v/>
      </c>
      <c r="E26" s="7" t="str">
        <f>IF($B26=0,$B$8*D26/(1+#REF!/100), IF($B26=E$25, $B$7*D27/(1 +D12/100 ), IF(AND(0 &lt; $B26, $B26 &lt; E$25), $B$7*D27/(1+D12/100) + $B$8*D26/(1+#REF!/100 ),"")))</f>
        <v/>
      </c>
      <c r="F26" s="7" t="str">
        <f>IF($B26=0,$B$8*E26/(1+#REF!/100), IF($B26=F$25, $B$7*E27/(1 +E12/100 ), IF(AND(0 &lt; $B26, $B26 &lt; F$25), $B$7*E27/(1+E12/100) + $B$8*E26/(1+#REF!/100 ),"")))</f>
        <v/>
      </c>
      <c r="G26" s="7" t="str">
        <f>IF($B26=0,$B$8*F26/(1+#REF!/100), IF($B26=G$25, $B$7*F27/(1 +F12/100 ), IF(AND(0 &lt; $B26, $B26 &lt; G$25), $B$7*F27/(1+F12/100) + $B$8*F26/(1+#REF!/100 ),"")))</f>
        <v/>
      </c>
      <c r="H26" s="7" t="str">
        <f>IF($B26=0,$B$8*G26/(1+#REF!/100), IF($B26=H$25, $B$7*G27/(1 +G12/100 ), IF(AND(0 &lt; $B26, $B26 &lt; H$25), $B$7*G27/(1+G12/100) + $B$8*G26/(1+#REF!/100 ),"")))</f>
        <v/>
      </c>
      <c r="I26" s="7" t="str">
        <f>IF($B26=0,$B$8*H26/(1+#REF!/100), IF($B26=I$25, $B$7*H27/(1 +H12/100 ), IF(AND(0 &lt; $B26, $B26 &lt; I$25), $B$7*H27/(1+H12/100) + $B$8*H26/(1+#REF!/100 ),"")))</f>
        <v/>
      </c>
      <c r="J26" s="7" t="str">
        <f>IF($B26=0,$B$8*I26/(1+#REF!/100), IF($B26=J$25, $B$7*I27/(1 +I12/100 ), IF(AND(0 &lt; $B26, $B26 &lt; J$25), $B$7*I27/(1+I12/100) + $B$8*I26/(1+#REF!/100 ),"")))</f>
        <v/>
      </c>
      <c r="K26" s="7" t="str">
        <f>IF($B26=0,$B$8*J26/(1+#REF!/100), IF($B26=K$25, $B$7*J27/(1 +J12/100 ), IF(AND(0 &lt; $B26, $B26 &lt; K$25), $B$7*J27/(1+J12/100) + $B$8*J26/(1+#REF!/100 ),"")))</f>
        <v/>
      </c>
      <c r="L26" s="7" t="str">
        <f>IF($B26=0,$B$8*K26/(1+#REF!/100), IF($B26=L$25, $B$7*K27/(1 +K12/100 ), IF(AND(0 &lt; $B26, $B26 &lt; L$25), $B$7*K27/(1+K12/100) + $B$8*K26/(1+#REF!/100 ),"")))</f>
        <v/>
      </c>
      <c r="M26" s="7">
        <f>IF($B26=0,$B$8*L26/(1+#REF!/100), IF($B26=M$25, $B$7*L27/(1 +L12/100 ), IF(AND(0 &lt; $B26, $B26 &lt; M$25), $B$7*L27/(1+L12/100) + $B$8*L26/(1+#REF!/100 ),"")))</f>
        <v>6.1593854994496404E-4</v>
      </c>
      <c r="N26" s="7"/>
      <c r="O26" s="7"/>
      <c r="P26" s="7"/>
      <c r="Q26" s="7"/>
    </row>
    <row r="27" spans="1:17" x14ac:dyDescent="0.2">
      <c r="B27">
        <v>9</v>
      </c>
      <c r="C27" s="7"/>
      <c r="D27" s="7" t="str">
        <f>IF($B27=0,$B$8*C27/(1+C12/100), IF($B27=D$25, $B$7*C28/(1 +C13/100 ), IF(AND(0 &lt; $B27, $B27 &lt; D$25), $B$7*C28/(1+C13/100) + $B$8*C27/(1+C12/100 ),"")))</f>
        <v/>
      </c>
      <c r="E27" s="7" t="str">
        <f>IF($B27=0,$B$8*D27/(1+D12/100), IF($B27=E$25, $B$7*D28/(1 +D13/100 ), IF(AND(0 &lt; $B27, $B27 &lt; E$25), $B$7*D28/(1+D13/100) + $B$8*D27/(1+D12/100 ),"")))</f>
        <v/>
      </c>
      <c r="F27" s="7" t="str">
        <f>IF($B27=0,$B$8*E27/(1+E12/100), IF($B27=F$25, $B$7*E28/(1 +E13/100 ), IF(AND(0 &lt; $B27, $B27 &lt; F$25), $B$7*E28/(1+E13/100) + $B$8*E27/(1+E12/100 ),"")))</f>
        <v/>
      </c>
      <c r="G27" s="7" t="str">
        <f>IF($B27=0,$B$8*F27/(1+F12/100), IF($B27=G$25, $B$7*F28/(1 +F13/100 ), IF(AND(0 &lt; $B27, $B27 &lt; G$25), $B$7*F28/(1+F13/100) + $B$8*F27/(1+F12/100 ),"")))</f>
        <v/>
      </c>
      <c r="H27" s="7" t="str">
        <f>IF($B27=0,$B$8*G27/(1+G12/100), IF($B27=H$25, $B$7*G28/(1 +G13/100 ), IF(AND(0 &lt; $B27, $B27 &lt; H$25), $B$7*G28/(1+G13/100) + $B$8*G27/(1+G12/100 ),"")))</f>
        <v/>
      </c>
      <c r="I27" s="7" t="str">
        <f>IF($B27=0,$B$8*H27/(1+H12/100), IF($B27=I$25, $B$7*H28/(1 +H13/100 ), IF(AND(0 &lt; $B27, $B27 &lt; I$25), $B$7*H28/(1+H13/100) + $B$8*H27/(1+H12/100 ),"")))</f>
        <v/>
      </c>
      <c r="J27" s="7" t="str">
        <f>IF($B27=0,$B$8*I27/(1+I12/100), IF($B27=J$25, $B$7*I28/(1 +I13/100 ), IF(AND(0 &lt; $B27, $B27 &lt; J$25), $B$7*I28/(1+I13/100) + $B$8*I27/(1+I12/100 ),"")))</f>
        <v/>
      </c>
      <c r="K27" s="7" t="str">
        <f>IF($B27=0,$B$8*J27/(1+J12/100), IF($B27=K$25, $B$7*J28/(1 +J13/100 ), IF(AND(0 &lt; $B27, $B27 &lt; K$25), $B$7*J28/(1+J13/100) + $B$8*J27/(1+J12/100 ),"")))</f>
        <v/>
      </c>
      <c r="L27" s="7">
        <f>IF($B27=0,$B$8*K27/(1+K12/100), IF($B27=L$25, $B$7*K28/(1 +K13/100 ), IF(AND(0 &lt; $B27, $B27 &lt; L$25), $B$7*K28/(1+K13/100) + $B$8*K27/(1+K12/100 ),"")))</f>
        <v>1.3115178551046792E-3</v>
      </c>
      <c r="M27" s="7">
        <f>IF($B27=0,$B$8*L27/(1+L12/100), IF($B27=M$25, $B$7*L28/(1 +L13/100 ), IF(AND(0 &lt; $B27, $B27 &lt; M$25), $B$7*L28/(1+L13/100) + $B$8*L27/(1+L12/100 ),"")))</f>
        <v>6.2970763111996984E-3</v>
      </c>
      <c r="N27" s="7"/>
      <c r="O27" s="7"/>
      <c r="P27" s="7"/>
      <c r="Q27" s="7"/>
    </row>
    <row r="28" spans="1:17" x14ac:dyDescent="0.2">
      <c r="B28">
        <v>8</v>
      </c>
      <c r="C28" s="7"/>
      <c r="D28" s="7" t="str">
        <f>IF($B28=0,$B$8*C28/(1+C13/100), IF($B28=D$25, $B$7*C29/(1 +C14/100 ), IF(AND(0 &lt; $B28, $B28 &lt; D$25), $B$7*C29/(1+C14/100) + $B$8*C28/(1+C13/100 ),"")))</f>
        <v/>
      </c>
      <c r="E28" s="7" t="str">
        <f>IF($B28=0,$B$8*D28/(1+D13/100), IF($B28=E$25, $B$7*D29/(1 +D14/100 ), IF(AND(0 &lt; $B28, $B28 &lt; E$25), $B$7*D29/(1+D14/100) + $B$8*D28/(1+D13/100 ),"")))</f>
        <v/>
      </c>
      <c r="F28" s="7" t="str">
        <f>IF($B28=0,$B$8*E28/(1+E13/100), IF($B28=F$25, $B$7*E29/(1 +E14/100 ), IF(AND(0 &lt; $B28, $B28 &lt; F$25), $B$7*E29/(1+E14/100) + $B$8*E28/(1+E13/100 ),"")))</f>
        <v/>
      </c>
      <c r="G28" s="7" t="str">
        <f>IF($B28=0,$B$8*F28/(1+F13/100), IF($B28=G$25, $B$7*F29/(1 +F14/100 ), IF(AND(0 &lt; $B28, $B28 &lt; G$25), $B$7*F29/(1+F14/100) + $B$8*F28/(1+F13/100 ),"")))</f>
        <v/>
      </c>
      <c r="H28" s="7" t="str">
        <f>IF($B28=0,$B$8*G28/(1+G13/100), IF($B28=H$25, $B$7*G29/(1 +G14/100 ), IF(AND(0 &lt; $B28, $B28 &lt; H$25), $B$7*G29/(1+G14/100) + $B$8*G28/(1+G13/100 ),"")))</f>
        <v/>
      </c>
      <c r="I28" s="7" t="str">
        <f>IF($B28=0,$B$8*H28/(1+H13/100), IF($B28=I$25, $B$7*H29/(1 +H14/100 ), IF(AND(0 &lt; $B28, $B28 &lt; I$25), $B$7*H29/(1+H14/100) + $B$8*H28/(1+H13/100 ),"")))</f>
        <v/>
      </c>
      <c r="J28" s="7" t="str">
        <f>IF($B28=0,$B$8*I28/(1+I13/100), IF($B28=J$25, $B$7*I29/(1 +I14/100 ), IF(AND(0 &lt; $B28, $B28 &lt; J$25), $B$7*I29/(1+I14/100) + $B$8*I28/(1+I13/100 ),"")))</f>
        <v/>
      </c>
      <c r="K28" s="7">
        <f>IF($B28=0,$B$8*J28/(1+J13/100), IF($B28=K$25, $B$7*J29/(1 +J14/100 ), IF(AND(0 &lt; $B28, $B28 &lt; K$25), $B$7*J29/(1+J14/100) + $B$8*J28/(1+J13/100 ),"")))</f>
        <v>2.7804999104758424E-3</v>
      </c>
      <c r="L28" s="7">
        <f>IF($B28=0,$B$8*K28/(1+K13/100), IF($B28=L$25, $B$7*K29/(1 +K14/100 ), IF(AND(0 &lt; $B28, $B28 &lt; L$25), $B$7*K29/(1+K14/100) + $B$8*K28/(1+K13/100 ),"")))</f>
        <v>1.2026942122653527E-2</v>
      </c>
      <c r="M28" s="7">
        <f>IF($B28=0,$B$8*L28/(1+L13/100), IF($B28=M$25, $B$7*L29/(1 +L14/100 ), IF(AND(0 &lt; $B28, $B28 &lt; M$25), $B$7*L29/(1+L14/100) + $B$8*L28/(1+L13/100 ),"")))</f>
        <v>2.8933054721072892E-2</v>
      </c>
      <c r="N28" s="7"/>
      <c r="O28" s="7"/>
      <c r="P28" s="7"/>
      <c r="Q28" s="7"/>
    </row>
    <row r="29" spans="1:17" x14ac:dyDescent="0.2">
      <c r="B29">
        <v>7</v>
      </c>
      <c r="C29" s="7"/>
      <c r="D29" s="7" t="str">
        <f>IF($B29=0,$B$8*C29/(1+C14/100), IF($B29=D$25, $B$7*C30/(1 +C15/100 ), IF(AND(0 &lt; $B29, $B29 &lt; D$25), $B$7*C30/(1+C15/100) + $B$8*C29/(1+C14/100 ),"")))</f>
        <v/>
      </c>
      <c r="E29" s="7" t="str">
        <f>IF($B29=0,$B$8*D29/(1+D14/100), IF($B29=E$25, $B$7*D30/(1 +D15/100 ), IF(AND(0 &lt; $B29, $B29 &lt; E$25), $B$7*D30/(1+D15/100) + $B$8*D29/(1+D14/100 ),"")))</f>
        <v/>
      </c>
      <c r="F29" s="7" t="str">
        <f>IF($B29=0,$B$8*E29/(1+E14/100), IF($B29=F$25, $B$7*E30/(1 +E15/100 ), IF(AND(0 &lt; $B29, $B29 &lt; F$25), $B$7*E30/(1+E15/100) + $B$8*E29/(1+E14/100 ),"")))</f>
        <v/>
      </c>
      <c r="G29" s="7" t="str">
        <f>IF($B29=0,$B$8*F29/(1+F14/100), IF($B29=G$25, $B$7*F30/(1 +F15/100 ), IF(AND(0 &lt; $B29, $B29 &lt; G$25), $B$7*F30/(1+F15/100) + $B$8*F29/(1+F14/100 ),"")))</f>
        <v/>
      </c>
      <c r="H29" s="7" t="str">
        <f>IF($B29=0,$B$8*G29/(1+G14/100), IF($B29=H$25, $B$7*G30/(1 +G15/100 ), IF(AND(0 &lt; $B29, $B29 &lt; H$25), $B$7*G30/(1+G15/100) + $B$8*G29/(1+G14/100 ),"")))</f>
        <v/>
      </c>
      <c r="I29" s="7" t="str">
        <f>IF($B29=0,$B$8*H29/(1+H14/100), IF($B29=I$25, $B$7*H30/(1 +H15/100 ), IF(AND(0 &lt; $B29, $B29 &lt; I$25), $B$7*H30/(1+H15/100) + $B$8*H29/(1+H14/100 ),"")))</f>
        <v/>
      </c>
      <c r="J29" s="7">
        <f>IF($B29=0,$B$8*I29/(1+I14/100), IF($B29=J$25, $B$7*I30/(1 +I15/100 ), IF(AND(0 &lt; $B29, $B29 &lt; J$25), $B$7*I30/(1+I15/100) + $B$8*I29/(1+I14/100 ),"")))</f>
        <v>5.8708504164988063E-3</v>
      </c>
      <c r="K29" s="7">
        <f>IF($B29=0,$B$8*J29/(1+J14/100), IF($B29=K$25, $B$7*J30/(1 +J15/100 ), IF(AND(0 &lt; $B29, $B29 &lt; K$25), $B$7*J30/(1+J15/100) + $B$8*J29/(1+J14/100 ),"")))</f>
        <v>2.2594941185682584E-2</v>
      </c>
      <c r="L29" s="7">
        <f>IF($B29=0,$B$8*K29/(1+K14/100), IF($B29=L$25, $B$7*K30/(1 +K15/100 ), IF(AND(0 &lt; $B29, $B29 &lt; L$25), $B$7*K30/(1+K15/100) + $B$8*K29/(1+K14/100 ),"")))</f>
        <v>4.8965322641897999E-2</v>
      </c>
      <c r="M29" s="7">
        <f>IF($B29=0,$B$8*L29/(1+L14/100), IF($B29=M$25, $B$7*L30/(1 +L15/100 ), IF(AND(0 &lt; $B29, $B29 &lt; M$25), $B$7*L30/(1+L15/100) + $B$8*L29/(1+L14/100 ),"")))</f>
        <v>7.8683216545278462E-2</v>
      </c>
      <c r="N29" s="7"/>
      <c r="O29" s="7"/>
      <c r="P29" s="7"/>
      <c r="Q29" s="7"/>
    </row>
    <row r="30" spans="1:17" x14ac:dyDescent="0.2">
      <c r="B30">
        <v>6</v>
      </c>
      <c r="C30" s="7"/>
      <c r="D30" s="7" t="str">
        <f>IF($B30=0,$B$8*C30/(1+C15/100), IF($B30=D$25, $B$7*C31/(1 +C16/100 ), IF(AND(0 &lt; $B30, $B30 &lt; D$25), $B$7*C31/(1+C16/100) + $B$8*C30/(1+C15/100 ),"")))</f>
        <v/>
      </c>
      <c r="E30" s="7" t="str">
        <f>IF($B30=0,$B$8*D30/(1+D15/100), IF($B30=E$25, $B$7*D31/(1 +D16/100 ), IF(AND(0 &lt; $B30, $B30 &lt; E$25), $B$7*D31/(1+D16/100) + $B$8*D30/(1+D15/100 ),"")))</f>
        <v/>
      </c>
      <c r="F30" s="7" t="str">
        <f>IF($B30=0,$B$8*E30/(1+E15/100), IF($B30=F$25, $B$7*E31/(1 +E16/100 ), IF(AND(0 &lt; $B30, $B30 &lt; F$25), $B$7*E31/(1+E16/100) + $B$8*E30/(1+E15/100 ),"")))</f>
        <v/>
      </c>
      <c r="G30" s="7" t="str">
        <f>IF($B30=0,$B$8*F30/(1+F15/100), IF($B30=G$25, $B$7*F31/(1 +F16/100 ), IF(AND(0 &lt; $B30, $B30 &lt; G$25), $B$7*F31/(1+F16/100) + $B$8*F30/(1+F15/100 ),"")))</f>
        <v/>
      </c>
      <c r="H30" s="7" t="str">
        <f>IF($B30=0,$B$8*G30/(1+G15/100), IF($B30=H$25, $B$7*G31/(1 +G16/100 ), IF(AND(0 &lt; $B30, $B30 &lt; H$25), $B$7*G31/(1+G16/100) + $B$8*G30/(1+G15/100 ),"")))</f>
        <v/>
      </c>
      <c r="I30" s="7">
        <f>IF($B30=0,$B$8*H30/(1+H15/100), IF($B30=I$25, $B$7*H31/(1 +H16/100 ), IF(AND(0 &lt; $B30, $B30 &lt; I$25), $B$7*H31/(1+H16/100) + $B$8*H30/(1+H15/100 ),"")))</f>
        <v>1.2348592641471067E-2</v>
      </c>
      <c r="J30" s="7">
        <f>IF($B30=0,$B$8*I30/(1+I15/100), IF($B30=J$25, $B$7*I31/(1 +I16/100 ), IF(AND(0 &lt; $B30, $B30 &lt; J$25), $B$7*I31/(1+I16/100) + $B$8*I30/(1+I15/100 ),"")))</f>
        <v>4.1626819746231752E-2</v>
      </c>
      <c r="K30" s="7">
        <f>IF($B30=0,$B$8*J30/(1+J15/100), IF($B30=K$25, $B$7*J31/(1 +J16/100 ), IF(AND(0 &lt; $B30, $B30 &lt; K$25), $B$7*J31/(1+J16/100) + $B$8*J30/(1+J15/100 ),"")))</f>
        <v>8.0259720290044745E-2</v>
      </c>
      <c r="L30" s="7">
        <f>IF($B30=0,$B$8*K30/(1+K15/100), IF($B30=L$25, $B$7*K31/(1 +K16/100 ), IF(AND(0 &lt; $B30, $B30 &lt; L$25), $B$7*K31/(1+K16/100) + $B$8*K30/(1+K15/100 ),"")))</f>
        <v>0.11617223456412121</v>
      </c>
      <c r="M30" s="7">
        <f>IF($B30=0,$B$8*L30/(1+L15/100), IF($B30=M$25, $B$7*L31/(1 +L16/100 ), IF(AND(0 &lt; $B30, $B30 &lt; M$25), $B$7*L31/(1+L16/100) + $B$8*L30/(1+L15/100 ),"")))</f>
        <v>0.14026464181429177</v>
      </c>
      <c r="N30" s="7"/>
      <c r="O30" s="7"/>
      <c r="P30" s="7"/>
      <c r="Q30" s="7"/>
    </row>
    <row r="31" spans="1:17" x14ac:dyDescent="0.2">
      <c r="B31">
        <v>5</v>
      </c>
      <c r="C31" s="7"/>
      <c r="D31" s="7" t="str">
        <f>IF($B31=0,$B$8*C31/(1+C16/100), IF($B31=D$25, $B$7*C32/(1 +C17/100 ), IF(AND(0 &lt; $B31, $B31 &lt; D$25), $B$7*C32/(1+C17/100) + $B$8*C31/(1+C16/100 ),"")))</f>
        <v/>
      </c>
      <c r="E31" s="7" t="str">
        <f>IF($B31=0,$B$8*D31/(1+D16/100), IF($B31=E$25, $B$7*D32/(1 +D17/100 ), IF(AND(0 &lt; $B31, $B31 &lt; E$25), $B$7*D32/(1+D17/100) + $B$8*D31/(1+D16/100 ),"")))</f>
        <v/>
      </c>
      <c r="F31" s="7" t="str">
        <f>IF($B31=0,$B$8*E31/(1+E16/100), IF($B31=F$25, $B$7*E32/(1 +E17/100 ), IF(AND(0 &lt; $B31, $B31 &lt; F$25), $B$7*E32/(1+E17/100) + $B$8*E31/(1+E16/100 ),"")))</f>
        <v/>
      </c>
      <c r="G31" s="7" t="str">
        <f>IF($B31=0,$B$8*F31/(1+F16/100), IF($B31=G$25, $B$7*F32/(1 +F17/100 ), IF(AND(0 &lt; $B31, $B31 &lt; G$25), $B$7*F32/(1+F17/100) + $B$8*F31/(1+F16/100 ),"")))</f>
        <v/>
      </c>
      <c r="H31" s="7">
        <f>IF($B31=0,$B$8*G31/(1+G16/100), IF($B31=H$25, $B$7*G32/(1 +G17/100 ), IF(AND(0 &lt; $B31, $B31 &lt; H$25), $B$7*G32/(1+G17/100) + $B$8*G31/(1+G16/100 ),"")))</f>
        <v>2.5959918800862226E-2</v>
      </c>
      <c r="I31" s="7">
        <f>IF($B31=0,$B$8*H31/(1+H16/100), IF($B31=I$25, $B$7*H32/(1 +H17/100 ), IF(AND(0 &lt; $B31, $B31 &lt; I$25), $B$7*H32/(1+H17/100) + $B$8*H31/(1+H16/100 ),"")))</f>
        <v>7.4856424552186843E-2</v>
      </c>
      <c r="J31" s="7">
        <f>IF($B31=0,$B$8*I31/(1+I16/100), IF($B31=J$25, $B$7*I32/(1 +I17/100 ), IF(AND(0 &lt; $B31, $B31 &lt; J$25), $B$7*I32/(1+I17/100) + $B$8*I31/(1+I16/100 ),"")))</f>
        <v>0.12640539832296716</v>
      </c>
      <c r="K31" s="7">
        <f>IF($B31=0,$B$8*J31/(1+J16/100), IF($B31=K$25, $B$7*J32/(1 +J17/100 ), IF(AND(0 &lt; $B31, $B31 &lt; K$25), $B$7*J32/(1+J17/100) + $B$8*J31/(1+J16/100 ),"")))</f>
        <v>0.16277543851011977</v>
      </c>
      <c r="L31" s="7">
        <f>IF($B31=0,$B$8*K31/(1+K16/100), IF($B31=L$25, $B$7*K32/(1 +K17/100 ), IF(AND(0 &lt; $B31, $B31 &lt; L$25), $B$7*K32/(1+K17/100) + $B$8*K31/(1+K16/100 ),"")))</f>
        <v>0.17701938313054821</v>
      </c>
      <c r="M31" s="7">
        <f>IF($B31=0,$B$8*L31/(1+L16/100), IF($B31=M$25, $B$7*L32/(1 +L17/100 ), IF(AND(0 &lt; $B31, $B31 &lt; M$25), $B$7*L32/(1+L17/100) + $B$8*L31/(1+L16/100 ),"")))</f>
        <v>0.17127620369091956</v>
      </c>
      <c r="N31" s="7"/>
      <c r="O31" s="7"/>
      <c r="P31" s="7"/>
      <c r="Q31" s="7"/>
    </row>
    <row r="32" spans="1:17" x14ac:dyDescent="0.2">
      <c r="B32">
        <v>4</v>
      </c>
      <c r="C32" s="7"/>
      <c r="D32" s="7" t="str">
        <f>IF($B32=0,$B$8*C32/(1+C17/100), IF($B32=D$25, $B$7*C33/(1 +C18/100 ), IF(AND(0 &lt; $B32, $B32 &lt; D$25), $B$7*C33/(1+C18/100) + $B$8*C32/(1+C17/100 ),"")))</f>
        <v/>
      </c>
      <c r="E32" s="7" t="str">
        <f>IF($B32=0,$B$8*D32/(1+D17/100), IF($B32=E$25, $B$7*D33/(1 +D18/100 ), IF(AND(0 &lt; $B32, $B32 &lt; E$25), $B$7*D33/(1+D18/100) + $B$8*D32/(1+D17/100 ),"")))</f>
        <v/>
      </c>
      <c r="F32" s="7" t="str">
        <f>IF($B32=0,$B$8*E32/(1+E17/100), IF($B32=F$25, $B$7*E33/(1 +E18/100 ), IF(AND(0 &lt; $B32, $B32 &lt; F$25), $B$7*E33/(1+E18/100) + $B$8*E32/(1+E17/100 ),"")))</f>
        <v/>
      </c>
      <c r="G32" s="7">
        <f>IF($B32=0,$B$8*F32/(1+F17/100), IF($B32=G$25, $B$7*F33/(1 +F18/100 ), IF(AND(0 &lt; $B32, $B32 &lt; G$25), $B$7*F33/(1+F18/100) + $B$8*F32/(1+F17/100 ),"")))</f>
        <v>5.4320292502487995E-2</v>
      </c>
      <c r="H32" s="7">
        <f>IF($B32=0,$B$8*G32/(1+G17/100), IF($B32=H$25, $B$7*G33/(1 +G18/100 ), IF(AND(0 &lt; $B32, $B32 &lt; H$25), $B$7*G33/(1+G18/100) + $B$8*G32/(1+G17/100 ),"")))</f>
        <v>0.13079927690753343</v>
      </c>
      <c r="I32" s="7">
        <f>IF($B32=0,$B$8*H32/(1+H17/100), IF($B32=I$25, $B$7*H33/(1 +H18/100 ), IF(AND(0 &lt; $B32, $B32 &lt; I$25), $B$7*H33/(1+H18/100) + $B$8*H32/(1+H17/100 ),"")))</f>
        <v>0.18897099653351185</v>
      </c>
      <c r="J32" s="7">
        <f>IF($B32=0,$B$8*I32/(1+I17/100), IF($B32=J$25, $B$7*I33/(1 +I18/100 ), IF(AND(0 &lt; $B32, $B32 &lt; J$25), $B$7*I33/(1+I18/100) + $B$8*I32/(1+I17/100 ),"")))</f>
        <v>0.21310814102514403</v>
      </c>
      <c r="K32" s="7">
        <f>IF($B32=0,$B$8*J32/(1+J17/100), IF($B32=K$25, $B$7*J33/(1 +J18/100 ), IF(AND(0 &lt; $B32, $B32 &lt; K$25), $B$7*J33/(1+J18/100) + $B$8*J32/(1+J17/100 ),"")))</f>
        <v>0.20616945844705059</v>
      </c>
      <c r="L32" s="7">
        <f>IF($B32=0,$B$8*K32/(1+K17/100), IF($B32=L$25, $B$7*K33/(1 +K18/100 ), IF(AND(0 &lt; $B32, $B32 &lt; L$25), $B$7*K33/(1+K18/100) + $B$8*K32/(1+K17/100 ),"")))</f>
        <v>0.17966494525274712</v>
      </c>
      <c r="M32" s="7">
        <f>IF($B32=0,$B$8*L32/(1+L17/100), IF($B32=M$25, $B$7*L33/(1 +L18/100 ), IF(AND(0 &lt; $B32, $B32 &lt; M$25), $B$7*L33/(1+L18/100) + $B$8*L32/(1+L17/100 ),"")))</f>
        <v>0.14509466381893751</v>
      </c>
      <c r="N32" s="7"/>
      <c r="O32" s="7"/>
      <c r="P32" s="7"/>
      <c r="Q32" s="7"/>
    </row>
    <row r="33" spans="1:17" x14ac:dyDescent="0.2">
      <c r="B33">
        <v>3</v>
      </c>
      <c r="C33" s="7"/>
      <c r="D33" s="7" t="str">
        <f>IF($B33=0,$B$8*C33/(1+C18/100), IF($B33=D$25, $B$7*C34/(1 +C19/100 ), IF(AND(0 &lt; $B33, $B33 &lt; D$25), $B$7*C34/(1+C19/100) + $B$8*C33/(1+C18/100 ),"")))</f>
        <v/>
      </c>
      <c r="E33" s="7" t="str">
        <f>IF($B33=0,$B$8*D33/(1+D18/100), IF($B33=E$25, $B$7*D34/(1 +D19/100 ), IF(AND(0 &lt; $B33, $B33 &lt; E$25), $B$7*D34/(1+D19/100) + $B$8*D33/(1+D18/100 ),"")))</f>
        <v/>
      </c>
      <c r="F33" s="7">
        <f>IF($B33=0,$B$8*E33/(1+E18/100), IF($B33=F$25, $B$7*E34/(1 +E19/100 ), IF(AND(0 &lt; $B33, $B33 &lt; F$25), $B$7*E34/(1+E19/100) + $B$8*E33/(1+E18/100 ),"")))</f>
        <v>0.11317060078568504</v>
      </c>
      <c r="G33" s="7">
        <f>IF($B33=0,$B$8*F33/(1+F18/100), IF($B33=G$25, $B$7*F34/(1 +F19/100 ), IF(AND(0 &lt; $B33, $B33 &lt; G$25), $B$7*F34/(1+F19/100) + $B$8*F33/(1+F18/100 ),"")))</f>
        <v>0.21845044360736321</v>
      </c>
      <c r="H33" s="7">
        <f>IF($B33=0,$B$8*G33/(1+G18/100), IF($B33=H$25, $B$7*G34/(1 +G19/100 ), IF(AND(0 &lt; $B33, $B33 &lt; H$25), $B$7*G34/(1+G19/100) + $B$8*G33/(1+G18/100 ),"")))</f>
        <v>0.26351397478619509</v>
      </c>
      <c r="I33" s="7">
        <f>IF($B33=0,$B$8*H33/(1+H18/100), IF($B33=I$25, $B$7*H34/(1 +H19/100 ), IF(AND(0 &lt; $B33, $B33 &lt; I$25), $B$7*H34/(1+H19/100) + $B$8*H33/(1+H18/100 ),"")))</f>
        <v>0.25429545375388474</v>
      </c>
      <c r="J33" s="7">
        <f>IF($B33=0,$B$8*I33/(1+I18/100), IF($B33=J$25, $B$7*I34/(1 +I19/100 ), IF(AND(0 &lt; $B33, $B33 &lt; J$25), $B$7*I34/(1+I19/100) + $B$8*I33/(1+I18/100 ),"")))</f>
        <v>0.21543523377690052</v>
      </c>
      <c r="K33" s="7">
        <f>IF($B33=0,$B$8*J33/(1+J18/100), IF($B33=K$25, $B$7*J34/(1 +J19/100 ), IF(AND(0 &lt; $B33, $B33 &lt; K$25), $B$7*J34/(1+J19/100) + $B$8*J33/(1+J18/100 ),"")))</f>
        <v>0.16700288213796552</v>
      </c>
      <c r="L33" s="7">
        <f>IF($B33=0,$B$8*K33/(1+K18/100), IF($B33=L$25, $B$7*K34/(1 +K19/100 ), IF(AND(0 &lt; $B33, $B33 &lt; L$25), $B$7*K34/(1+K19/100) + $B$8*K33/(1+K18/100 ),"")))</f>
        <v>0.12146561028000943</v>
      </c>
      <c r="M33" s="7">
        <f>IF($B33=0,$B$8*L33/(1+L18/100), IF($B33=M$25, $B$7*L34/(1 +L19/100 ), IF(AND(0 &lt; $B33, $B33 &lt; M$25), $B$7*L34/(1+L19/100) + $B$8*L33/(1+L18/100 ),"")))</f>
        <v>8.4206155763757728E-2</v>
      </c>
      <c r="N33" s="7"/>
      <c r="O33" s="7"/>
      <c r="P33" s="7"/>
      <c r="Q33" s="7"/>
    </row>
    <row r="34" spans="1:17" x14ac:dyDescent="0.2">
      <c r="B34">
        <v>2</v>
      </c>
      <c r="C34" s="7"/>
      <c r="D34" s="7" t="str">
        <f>IF($B34=0,$B$8*C34/(1+C19/100), IF($B34=D$25, $B$7*C35/(1 +C20/100 ), IF(AND(0 &lt; $B34, $B34 &lt; D$25), $B$7*C35/(1+C20/100) + $B$8*C34/(1+C19/100 ),"")))</f>
        <v/>
      </c>
      <c r="E34" s="7">
        <f>IF($B34=0,$B$8*D34/(1+D19/100), IF($B34=E$25, $B$7*D35/(1 +D20/100 ), IF(AND(0 &lt; $B34, $B34 &lt; E$25), $B$7*D35/(1+D20/100) + $B$8*D34/(1+D19/100 ),"")))</f>
        <v>0.23482770245051066</v>
      </c>
      <c r="F34" s="7">
        <f>IF($B34=0,$B$8*E34/(1+E19/100), IF($B34=F$25, $B$7*E35/(1 +E20/100 ), IF(AND(0 &lt; $B34, $B34 &lt; F$25), $B$7*E35/(1+E20/100) + $B$8*E34/(1+E19/100 ),"")))</f>
        <v>0.34064531718934116</v>
      </c>
      <c r="G34" s="7">
        <f>IF($B34=0,$B$8*F34/(1+F19/100), IF($B34=G$25, $B$7*F35/(1 +F20/100 ), IF(AND(0 &lt; $B34, $B34 &lt; G$25), $B$7*F35/(1+F20/100) + $B$8*F34/(1+F19/100 ),"")))</f>
        <v>0.3293618822253267</v>
      </c>
      <c r="H34" s="7">
        <f>IF($B34=0,$B$8*G34/(1+G19/100), IF($B34=H$25, $B$7*G35/(1 +G20/100 ), IF(AND(0 &lt; $B34, $B34 &lt; H$25), $B$7*G35/(1+G20/100) + $B$8*G34/(1+G19/100 ),"")))</f>
        <v>0.26534839285304596</v>
      </c>
      <c r="I34" s="7">
        <f>IF($B34=0,$B$8*H34/(1+H19/100), IF($B34=I$25, $B$7*H35/(1 +H20/100 ), IF(AND(0 &lt; $B34, $B34 &lt; I$25), $B$7*H35/(1+H20/100) + $B$8*H34/(1+H19/100 ),"")))</f>
        <v>0.19239571165068084</v>
      </c>
      <c r="J34" s="7">
        <f>IF($B34=0,$B$8*I34/(1+I19/100), IF($B34=J$25, $B$7*I35/(1 +I20/100 ), IF(AND(0 &lt; $B34, $B34 &lt; J$25), $B$7*I35/(1+I20/100) + $B$8*I34/(1+I19/100 ),"")))</f>
        <v>0.13059639062423567</v>
      </c>
      <c r="K34" s="7">
        <f>IF($B34=0,$B$8*J34/(1+J19/100), IF($B34=K$25, $B$7*J35/(1 +J20/100 ), IF(AND(0 &lt; $B34, $B34 &lt; K$25), $B$7*J35/(1+J20/100) + $B$8*J34/(1+J19/100 ),"")))</f>
        <v>8.4490245085853996E-2</v>
      </c>
      <c r="L34" s="7">
        <f>IF($B34=0,$B$8*K34/(1+K19/100), IF($B34=L$25, $B$7*K35/(1 +K20/100 ), IF(AND(0 &lt; $B34, $B34 &lt; L$25), $B$7*K35/(1+K20/100) + $B$8*K34/(1+K19/100 ),"")))</f>
        <v>5.2749510952147381E-2</v>
      </c>
      <c r="M34" s="7">
        <f>IF($B34=0,$B$8*L34/(1+L19/100), IF($B34=M$25, $B$7*L35/(1 +L20/100 ), IF(AND(0 &lt; $B34, $B34 &lt; M$25), $B$7*L35/(1+L20/100) + $B$8*L34/(1+L19/100 ),"")))</f>
        <v>3.2042421780349405E-2</v>
      </c>
      <c r="N34" s="7"/>
      <c r="O34" s="7"/>
      <c r="P34" s="7"/>
      <c r="Q34" s="7"/>
    </row>
    <row r="35" spans="1:17" x14ac:dyDescent="0.2">
      <c r="B35">
        <v>1</v>
      </c>
      <c r="C35" s="7"/>
      <c r="D35" s="7">
        <f>IF($B35=0,$B$8*C35/(1+C20/100), IF($B35=D$25, $B$7*C36/(1 +C21/100 ), IF(AND(0 &lt; $B35, $B35 &lt; D$25), $B$7*C36/(1+C21/100) + $B$8*C35/(1+C20/100 ),"")))</f>
        <v>0.48543690237192333</v>
      </c>
      <c r="E35" s="7">
        <f>IF($B35=0,$B$8*D35/(1+D20/100), IF($B35=E$25, $B$7*D36/(1 +D21/100 ), IF(AND(0 &lt; $B35, $B35 &lt; E$25), $B$7*D36/(1+D21/100) + $B$8*D35/(1+D20/100 ),"")))</f>
        <v>0.4703841516632169</v>
      </c>
      <c r="F35" s="7">
        <f>IF($B35=0,$B$8*E35/(1+E20/100), IF($B35=F$25, $B$7*E36/(1 +E21/100 ), IF(AND(0 &lt; $B35, $B35 &lt; F$25), $B$7*E36/(1+E21/100) + $B$8*E35/(1+E20/100 ),"")))</f>
        <v>0.34174510053873375</v>
      </c>
      <c r="G35" s="7">
        <f>IF($B35=0,$B$8*F35/(1+F20/100), IF($B35=G$25, $B$7*F36/(1 +F21/100 ), IF(AND(0 &lt; $B35, $B35 &lt; G$25), $B$7*F36/(1+F21/100) + $B$8*F35/(1+F20/100 ),"")))</f>
        <v>0.22065489623077597</v>
      </c>
      <c r="H35" s="7">
        <f>IF($B35=0,$B$8*G35/(1+G20/100), IF($B35=H$25, $B$7*G36/(1 +G21/100 ), IF(AND(0 &lt; $B35, $B35 &lt; H$25), $B$7*G36/(1+G21/100) + $B$8*G35/(1+G20/100 ),"")))</f>
        <v>0.13355235167063725</v>
      </c>
      <c r="I35" s="7">
        <f>IF($B35=0,$B$8*H35/(1+H20/100), IF($B35=I$25, $B$7*H36/(1 +H21/100 ), IF(AND(0 &lt; $B35, $B35 &lt; I$25), $B$7*H36/(1+H21/100) + $B$8*H35/(1+H20/100 ),"")))</f>
        <v>7.7598478981174251E-2</v>
      </c>
      <c r="J35" s="7">
        <f>IF($B35=0,$B$8*I35/(1+I20/100), IF($B35=J$25, $B$7*I36/(1 +I21/100 ), IF(AND(0 &lt; $B35, $B35 &lt; J$25), $B$7*I36/(1+I21/100) + $B$8*I35/(1+I20/100 ),"")))</f>
        <v>4.3957618244262302E-2</v>
      </c>
      <c r="K35" s="7">
        <f>IF($B35=0,$B$8*J35/(1+J20/100), IF($B35=K$25, $B$7*J36/(1 +J21/100 ), IF(AND(0 &lt; $B35, $B35 &lt; K$25), $B$7*J36/(1+J21/100) + $B$8*J35/(1+J20/100 ),"")))</f>
        <v>2.4410217705370624E-2</v>
      </c>
      <c r="L35" s="7">
        <f>IF($B35=0,$B$8*K35/(1+K20/100), IF($B35=L$25, $B$7*K36/(1 +K21/100 ), IF(AND(0 &lt; $B35, $B35 &lt; L$25), $B$7*K36/(1+K21/100) + $B$8*K35/(1+K20/100 ),"")))</f>
        <v>1.3353081598369164E-2</v>
      </c>
      <c r="M35" s="7">
        <f>IF($B35=0,$B$8*L35/(1+L20/100), IF($B35=M$25, $B$7*L36/(1 +L21/100 ), IF(AND(0 &lt; $B35, $B35 &lt; M$25), $B$7*L36/(1+L21/100) + $B$8*L35/(1+L20/100 ),"")))</f>
        <v>7.2194846268961018E-3</v>
      </c>
      <c r="N35" s="7"/>
      <c r="O35" s="7"/>
      <c r="P35" s="7"/>
      <c r="Q35" s="7"/>
    </row>
    <row r="36" spans="1:17" x14ac:dyDescent="0.2">
      <c r="B36">
        <v>0</v>
      </c>
      <c r="C36" s="7">
        <v>1</v>
      </c>
      <c r="D36" s="8">
        <f>IF($B36=0,$B$8*C36/(1+C21/100), IF($B36=D$25, $B$7*C37/(1 +C22/100 ), IF(AND(0 &lt; $B36, $B36 &lt; D$25), $B$7*C37/(1+C22/100) + $B$8*C36/(1+C21/100 ),"")))</f>
        <v>0.48543690237192333</v>
      </c>
      <c r="E36" s="7">
        <f>IF($B36=0,$B$8*D36/(1+D21/100), IF($B36=E$25, $B$7*D37/(1 +D22/100 ), IF(AND(0 &lt; $B36, $B36 &lt; E$25), $B$7*D37/(1+D22/100) + $B$8*D36/(1+D21/100 ),"")))</f>
        <v>0.23555644921270627</v>
      </c>
      <c r="F36" s="7">
        <f>IF($B36=0,$B$8*E36/(1+E21/100), IF($B36=F$25, $B$7*E37/(1 +E22/100 ), IF(AND(0 &lt; $B36, $B36 &lt; F$25), $B$7*E37/(1+E22/100) + $B$8*E36/(1+E21/100 ),"")))</f>
        <v>0.11427038413507762</v>
      </c>
      <c r="G36" s="7">
        <f>IF($B36=0,$B$8*F36/(1+F21/100), IF($B36=G$25, $B$7*F37/(1 +F22/100 ), IF(AND(0 &lt; $B36, $B36 &lt; G$25), $B$7*F37/(1+F22/100) + $B$8*F36/(1+F21/100 ),"")))</f>
        <v>5.5423165110324524E-2</v>
      </c>
      <c r="H36" s="7">
        <f>IF($B36=0,$B$8*G36/(1+G21/100), IF($B36=H$25, $B$7*G37/(1 +G22/100 ), IF(AND(0 &lt; $B36, $B36 &lt; H$25), $B$7*G37/(1+G22/100) + $B$8*G36/(1+G21/100 ),"")))</f>
        <v>2.6878575497115219E-2</v>
      </c>
      <c r="I36" s="7">
        <f>IF($B36=0,$B$8*H36/(1+H21/100), IF($B36=I$25, $B$7*H37/(1 +H22/100 ), IF(AND(0 &lt; $B36, $B36 &lt; I$25), $B$7*H37/(1+H22/100) + $B$8*H36/(1+H21/100 ),"")))</f>
        <v>1.3035056461582099E-2</v>
      </c>
      <c r="J36" s="7">
        <f>IF($B36=0,$B$8*I36/(1+I21/100), IF($B36=J$25, $B$7*I37/(1 +I22/100 ), IF(AND(0 &lt; $B36, $B36 &lt; J$25), $B$7*I37/(1+I22/100) + $B$8*I36/(1+I21/100 ),"")))</f>
        <v>6.3377493650173412E-3</v>
      </c>
      <c r="K36" s="7">
        <f>IF($B36=0,$B$8*J36/(1+J21/100), IF($B36=K$25, $B$7*J37/(1 +J22/100 ), IF(AND(0 &lt; $B36, $B36 &lt; K$25), $B$7*J37/(1+J22/100) + $B$8*J36/(1+J21/100 ),"")))</f>
        <v>3.0835558057132916E-3</v>
      </c>
      <c r="L36" s="7">
        <f>IF($B36=0,$B$8*K36/(1+K21/100), IF($B36=L$25, $B$7*K37/(1 +K22/100 ), IF(AND(0 &lt; $B36, $B36 &lt; L$25), $B$7*K37/(1+K22/100) + $B$8*K36/(1+K21/100 ),"")))</f>
        <v>1.5012826142602631E-3</v>
      </c>
      <c r="M36" s="7">
        <f>IF($B36=0,$B$8*L36/(1+L21/100), IF($B36=M$25, $B$7*L37/(1 +L22/100 ), IF(AND(0 &lt; $B36, $B36 &lt; M$25), $B$7*L37/(1+L22/100) + $B$8*L36/(1+L21/100 ),"")))</f>
        <v>7.3141625345503011E-4</v>
      </c>
      <c r="N36" s="7"/>
      <c r="O36" s="7"/>
      <c r="P36" s="7"/>
      <c r="Q36" s="7"/>
    </row>
    <row r="38" spans="1:17" ht="13.5" thickBot="1" x14ac:dyDescent="0.25"/>
    <row r="39" spans="1:17" ht="13.5" thickBot="1" x14ac:dyDescent="0.25">
      <c r="A39" s="53" t="s">
        <v>25</v>
      </c>
      <c r="B39" s="54"/>
      <c r="C39" s="55"/>
      <c r="D39" s="41">
        <f>SUM(D26:D36)</f>
        <v>0.97087380474384666</v>
      </c>
      <c r="E39" s="42">
        <f>SUM(E26:E36)</f>
        <v>0.9407683033264338</v>
      </c>
      <c r="F39" s="42">
        <f>SUM(F26:F36)</f>
        <v>0.90983140264883755</v>
      </c>
      <c r="G39" s="42">
        <f>SUM(G26:G36)</f>
        <v>0.87821067967627831</v>
      </c>
      <c r="H39" s="42">
        <f>SUM(H26:H36)</f>
        <v>0.84605249051538933</v>
      </c>
      <c r="I39" s="42">
        <f>SUM(I26:I36)</f>
        <v>0.81350071457449158</v>
      </c>
      <c r="J39" s="42">
        <f>SUM(J26:J36)</f>
        <v>0.78333820152125744</v>
      </c>
      <c r="K39" s="42">
        <f>SUM(K26:K36)</f>
        <v>0.75356695907827698</v>
      </c>
      <c r="L39" s="42">
        <f>SUM(L26:L36)</f>
        <v>0.72422983101185912</v>
      </c>
      <c r="M39" s="65">
        <f>SUM(M26:M36)</f>
        <v>0.69536427387610333</v>
      </c>
    </row>
    <row r="40" spans="1:17" ht="13.5" thickBot="1" x14ac:dyDescent="0.25">
      <c r="A40" s="53" t="s">
        <v>26</v>
      </c>
      <c r="B40" s="54"/>
      <c r="C40" s="55"/>
      <c r="D40" s="39">
        <f>100*((1/D39)^(1/D25)-1)</f>
        <v>2.9999980547253502</v>
      </c>
      <c r="E40" s="40">
        <f>100*((1/E39)^(1/E25)-1)</f>
        <v>3.099999150859678</v>
      </c>
      <c r="F40" s="40">
        <f>100*((1/F39)^(1/F25)-1)</f>
        <v>3.1999988741752139</v>
      </c>
      <c r="G40" s="40">
        <f>100*((1/G39)^(1/G25)-1)</f>
        <v>3.2999999872987074</v>
      </c>
      <c r="H40" s="40">
        <f>100*((1/H39)^(1/H25)-1)</f>
        <v>3.3999999036933737</v>
      </c>
      <c r="I40" s="40">
        <f>100*((1/I39)^(1/I25)-1)</f>
        <v>3.4999985100181652</v>
      </c>
      <c r="J40" s="40">
        <f>100*((1/J39)^(1/J25)-1)</f>
        <v>3.549999006642679</v>
      </c>
      <c r="K40" s="40">
        <f>100*((1/K39)^(1/K25)-1)</f>
        <v>3.6000032387095926</v>
      </c>
      <c r="L40" s="40">
        <f>100*((1/L39)^(1/L25)-1)</f>
        <v>3.6499955635444392</v>
      </c>
      <c r="M40" s="66">
        <f>100*((1/M39)^(1/M25)-1)</f>
        <v>3.7000014847841101</v>
      </c>
    </row>
    <row r="41" spans="1:17" ht="13.5" thickBot="1" x14ac:dyDescent="0.25"/>
    <row r="42" spans="1:17" ht="13.5" thickBot="1" x14ac:dyDescent="0.25">
      <c r="A42" s="53" t="s">
        <v>12</v>
      </c>
      <c r="B42" s="54"/>
      <c r="C42" s="55"/>
      <c r="D42" s="37">
        <f>(D40-C4)^2</f>
        <v>3.7840934631782246E-12</v>
      </c>
      <c r="E42" s="38">
        <f>(E40-D4)^2</f>
        <v>7.210392865426252E-13</v>
      </c>
      <c r="F42" s="38">
        <f>(F40-E4)^2</f>
        <v>1.2674814494148687E-12</v>
      </c>
      <c r="G42" s="38">
        <f>(G40-F4)^2</f>
        <v>1.6132283021097248E-16</v>
      </c>
      <c r="H42" s="38">
        <f>(H40-G4)^2</f>
        <v>9.2749662556878386E-15</v>
      </c>
      <c r="I42" s="38">
        <f>(I40-H4)^2</f>
        <v>2.2200458680378866E-12</v>
      </c>
      <c r="J42" s="38">
        <f>(J40-I4)^2</f>
        <v>9.8675876687490214E-13</v>
      </c>
      <c r="K42" s="38">
        <f>(K40-J4)^2</f>
        <v>1.0489239824631698E-11</v>
      </c>
      <c r="L42" s="38">
        <f>(L40-K4)^2</f>
        <v>1.9682137942037807E-11</v>
      </c>
      <c r="M42" s="67">
        <f>(M40-L4)^2</f>
        <v>2.2045838529645391E-12</v>
      </c>
    </row>
    <row r="43" spans="1:17" ht="13.5" thickBot="1" x14ac:dyDescent="0.25">
      <c r="A43" s="53" t="s">
        <v>11</v>
      </c>
      <c r="B43" s="54"/>
      <c r="C43" s="55"/>
      <c r="D43" s="36">
        <f>SUM(D42:M42)</f>
        <v>4.1364816742768454E-11</v>
      </c>
    </row>
    <row r="47" spans="1:17" ht="13.5" thickBot="1" x14ac:dyDescent="0.25"/>
    <row r="48" spans="1:17" ht="13.5" thickBot="1" x14ac:dyDescent="0.25">
      <c r="A48" s="50" t="s">
        <v>20</v>
      </c>
      <c r="B48" s="51"/>
      <c r="C48" s="5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2">
      <c r="A49" s="11"/>
      <c r="B49" s="11"/>
      <c r="C49" s="11">
        <v>0</v>
      </c>
      <c r="D49" s="11">
        <v>1</v>
      </c>
      <c r="E49" s="11">
        <v>2</v>
      </c>
      <c r="F49" s="11">
        <v>3</v>
      </c>
      <c r="G49" s="11">
        <v>4</v>
      </c>
      <c r="H49" s="11">
        <v>5</v>
      </c>
      <c r="I49" s="11">
        <v>6</v>
      </c>
      <c r="J49" s="11">
        <v>7</v>
      </c>
      <c r="K49" s="11">
        <v>8</v>
      </c>
      <c r="L49" s="11">
        <v>9</v>
      </c>
      <c r="M49" s="11"/>
      <c r="N49" s="11"/>
      <c r="O49" s="11"/>
      <c r="P49" s="11"/>
    </row>
    <row r="50" spans="1:16" x14ac:dyDescent="0.2">
      <c r="A50" s="11"/>
      <c r="B50" s="11">
        <v>9</v>
      </c>
      <c r="C50" s="15" t="str">
        <f>IF($B50&lt;= C$49, ($B$7*D49+$B$8*D50)/(1+C12/100),"")</f>
        <v/>
      </c>
      <c r="D50" s="15" t="str">
        <f>IF($B50&lt;= D$49, ($B$7*E49+$B$8*E50)/(1+D12/100),"")</f>
        <v/>
      </c>
      <c r="E50" s="15" t="str">
        <f>IF($B50&lt;= E$49, MAX((E12/100-$C$62)/(1+E12/100) +($B$7*F49+$B$8*F50)/(1+E12/100) - $C$65,0),"")</f>
        <v/>
      </c>
      <c r="F50" s="16" t="str">
        <f>IF($B50&lt;= F$49, (F12/100-$C$62)/(1+F12/100) +($B$7*G49+$B$8*G50)/(1+F12/100),"")</f>
        <v/>
      </c>
      <c r="G50" s="16" t="str">
        <f>IF($B50&lt;= G$49, (G12/100-$C$62)/(1+G12/100) +($B$7*H49+$B$8*H50)/(1+G12/100),"")</f>
        <v/>
      </c>
      <c r="H50" s="16" t="str">
        <f>IF($B50&lt;= H$49, (H12/100-$C$62)/(1+H12/100) +($B$7*I49+$B$8*I50)/(1+H12/100),"")</f>
        <v/>
      </c>
      <c r="I50" s="16" t="str">
        <f>IF($B50&lt;= I$49, (I12/100-$C$62)/(1+I12/100) +($B$7*J49+$B$8*J50)/(1+I12/100),"")</f>
        <v/>
      </c>
      <c r="J50" s="16" t="str">
        <f>IF($B50&lt;= J$49, (J12/100-$C$62)/(1+J12/100) +($B$7*K49+$B$8*K50)/(1+J12/100),"")</f>
        <v/>
      </c>
      <c r="K50" s="16" t="str">
        <f>IF($B50&lt;= K$49, (K12/100-$C$62)/(1+K12/100) +($B$7*L49+$B$8*L50)/(1+K12/100),"")</f>
        <v/>
      </c>
      <c r="L50" s="16">
        <f>IF($B50&lt;= L$49, (L12/100-$C$62)/(1+L12/100),"")</f>
        <v>2.4092350855964628E-2</v>
      </c>
      <c r="M50" s="3"/>
      <c r="N50" s="3"/>
      <c r="O50" s="3"/>
      <c r="P50" s="3"/>
    </row>
    <row r="51" spans="1:16" x14ac:dyDescent="0.2">
      <c r="A51" s="11"/>
      <c r="B51" s="11">
        <v>8</v>
      </c>
      <c r="C51" s="15" t="str">
        <f>IF($B51&lt;= C$49, ($B$7*D50+$B$8*D51)/(1+C13/100),"")</f>
        <v/>
      </c>
      <c r="D51" s="15" t="str">
        <f>IF($B51&lt;= D$49, ($B$7*E50+$B$8*E51)/(1+D13/100),"")</f>
        <v/>
      </c>
      <c r="E51" s="15" t="str">
        <f>IF($B51&lt;= E$49, MAX((E13/100-$C$62)/(1+E13/100) +($B$7*F50+$B$8*F51)/(1+E13/100) - $C$65,0),"")</f>
        <v/>
      </c>
      <c r="F51" s="16" t="str">
        <f>IF($B51&lt;= F$49, (F13/100-$C$62)/(1+F13/100) +($B$7*G50+$B$8*G51)/(1+F13/100),"")</f>
        <v/>
      </c>
      <c r="G51" s="16" t="str">
        <f>IF($B51&lt;= G$49, (G13/100-$C$62)/(1+G13/100) +($B$7*H50+$B$8*H51)/(1+G13/100),"")</f>
        <v/>
      </c>
      <c r="H51" s="16" t="str">
        <f>IF($B51&lt;= H$49, (H13/100-$C$62)/(1+H13/100) +($B$7*I50+$B$8*I51)/(1+H13/100),"")</f>
        <v/>
      </c>
      <c r="I51" s="16" t="str">
        <f>IF($B51&lt;= I$49, (I13/100-$C$62)/(1+I13/100) +($B$7*J50+$B$8*J51)/(1+I13/100),"")</f>
        <v/>
      </c>
      <c r="J51" s="16" t="str">
        <f>IF($B51&lt;= J$49, (J13/100-$C$62)/(1+J13/100) +($B$7*K50+$B$8*K51)/(1+J13/100),"")</f>
        <v/>
      </c>
      <c r="K51" s="16">
        <f>IF($B51&lt;= K$49, (K13/100-$C$62)/(1+K13/100) +($B$7*L50+$B$8*L51)/(1+K13/100),"")</f>
        <v>3.9892713807098232E-2</v>
      </c>
      <c r="L51" s="16">
        <f>IF($B51&lt;= L$49, (L13/100-$C$62)/(1+L13/100),"")</f>
        <v>1.8420131443794625E-2</v>
      </c>
      <c r="M51" s="3"/>
      <c r="N51" s="3"/>
      <c r="O51" s="3"/>
      <c r="P51" s="3"/>
    </row>
    <row r="52" spans="1:16" x14ac:dyDescent="0.2">
      <c r="A52" s="11"/>
      <c r="B52" s="11">
        <v>7</v>
      </c>
      <c r="C52" s="15" t="str">
        <f>IF($B52&lt;= C$49, ($B$7*D51+$B$8*D52)/(1+C14/100),"")</f>
        <v/>
      </c>
      <c r="D52" s="15" t="str">
        <f>IF($B52&lt;= D$49, ($B$7*E51+$B$8*E52)/(1+D14/100),"")</f>
        <v/>
      </c>
      <c r="E52" s="15" t="str">
        <f>IF($B52&lt;= E$49, MAX((E14/100-$C$62)/(1+E14/100) +($B$7*F51+$B$8*F52)/(1+E14/100) - $C$65,0),"")</f>
        <v/>
      </c>
      <c r="F52" s="16" t="str">
        <f>IF($B52&lt;= F$49, (F14/100-$C$62)/(1+F14/100) +($B$7*G51+$B$8*G52)/(1+F14/100),"")</f>
        <v/>
      </c>
      <c r="G52" s="16" t="str">
        <f>IF($B52&lt;= G$49, (G14/100-$C$62)/(1+G14/100) +($B$7*H51+$B$8*H52)/(1+G14/100),"")</f>
        <v/>
      </c>
      <c r="H52" s="16" t="str">
        <f>IF($B52&lt;= H$49, (H14/100-$C$62)/(1+H14/100) +($B$7*I51+$B$8*I52)/(1+H14/100),"")</f>
        <v/>
      </c>
      <c r="I52" s="16" t="str">
        <f>IF($B52&lt;= I$49, (I14/100-$C$62)/(1+I14/100) +($B$7*J51+$B$8*J52)/(1+I14/100),"")</f>
        <v/>
      </c>
      <c r="J52" s="16">
        <f>IF($B52&lt;= J$49, (J14/100-$C$62)/(1+J14/100) +($B$7*K51+$B$8*K52)/(1+J14/100),"")</f>
        <v>4.8719943045138409E-2</v>
      </c>
      <c r="K52" s="16">
        <f>IF($B52&lt;= K$49, (K14/100-$C$62)/(1+K14/100) +($B$7*L51+$B$8*L52)/(1+K14/100),"")</f>
        <v>2.9539367330895766E-2</v>
      </c>
      <c r="L52" s="16">
        <f>IF($B52&lt;= L$49, (L14/100-$C$62)/(1+L14/100),"")</f>
        <v>1.3230571442033887E-2</v>
      </c>
      <c r="M52" s="3"/>
      <c r="N52" s="3"/>
      <c r="O52" s="3"/>
      <c r="P52" s="3"/>
    </row>
    <row r="53" spans="1:16" x14ac:dyDescent="0.2">
      <c r="A53" s="11"/>
      <c r="B53" s="11">
        <v>6</v>
      </c>
      <c r="C53" s="15" t="str">
        <f>IF($B53&lt;= C$49, ($B$7*D52+$B$8*D53)/(1+C15/100),"")</f>
        <v/>
      </c>
      <c r="D53" s="15" t="str">
        <f>IF($B53&lt;= D$49, ($B$7*E52+$B$8*E53)/(1+D15/100),"")</f>
        <v/>
      </c>
      <c r="E53" s="15" t="str">
        <f>IF($B53&lt;= E$49, MAX((E15/100-$C$62)/(1+E15/100) +($B$7*F52+$B$8*F53)/(1+E15/100) - $C$65,0),"")</f>
        <v/>
      </c>
      <c r="F53" s="16" t="str">
        <f>IF($B53&lt;= F$49, (F15/100-$C$62)/(1+F15/100) +($B$7*G52+$B$8*G53)/(1+F15/100),"")</f>
        <v/>
      </c>
      <c r="G53" s="16" t="str">
        <f>IF($B53&lt;= G$49, (G15/100-$C$62)/(1+G15/100) +($B$7*H52+$B$8*H53)/(1+G15/100),"")</f>
        <v/>
      </c>
      <c r="H53" s="16" t="str">
        <f>IF($B53&lt;= H$49, (H15/100-$C$62)/(1+H15/100) +($B$7*I52+$B$8*I53)/(1+H15/100),"")</f>
        <v/>
      </c>
      <c r="I53" s="16">
        <f>IF($B53&lt;= I$49, (I15/100-$C$62)/(1+I15/100) +($B$7*J52+$B$8*J53)/(1+I15/100),"")</f>
        <v>5.1609614193869134E-2</v>
      </c>
      <c r="J53" s="16">
        <f>IF($B53&lt;= J$49, (J15/100-$C$62)/(1+J15/100) +($B$7*K52+$B$8*K53)/(1+J15/100),"")</f>
        <v>3.4460617083705167E-2</v>
      </c>
      <c r="K53" s="16">
        <f>IF($B53&lt;= K$49, (K15/100-$C$62)/(1+K15/100) +($B$7*L52+$B$8*L53)/(1+K15/100),"")</f>
        <v>2.0024236592875385E-2</v>
      </c>
      <c r="L53" s="16">
        <f>IF($B53&lt;= L$49, (L15/100-$C$62)/(1+L15/100),"")</f>
        <v>8.4873466472788935E-3</v>
      </c>
      <c r="M53" s="3"/>
      <c r="N53" s="3"/>
      <c r="O53" s="3"/>
      <c r="P53" s="3"/>
    </row>
    <row r="54" spans="1:16" x14ac:dyDescent="0.2">
      <c r="A54" s="11"/>
      <c r="B54" s="11">
        <v>5</v>
      </c>
      <c r="C54" s="15" t="str">
        <f>IF($B54&lt;= C$49, ($B$7*D53+$B$8*D54)/(1+C16/100),"")</f>
        <v/>
      </c>
      <c r="D54" s="15" t="str">
        <f>IF($B54&lt;= D$49, ($B$7*E53+$B$8*E54)/(1+D16/100),"")</f>
        <v/>
      </c>
      <c r="E54" s="15" t="str">
        <f>IF($B54&lt;= E$49, MAX((E16/100-$C$62)/(1+E16/100) +($B$7*F53+$B$8*F54)/(1+E16/100) - $C$65,0),"")</f>
        <v/>
      </c>
      <c r="F54" s="16" t="str">
        <f>IF($B54&lt;= F$49, (F16/100-$C$62)/(1+F16/100) +($B$7*G53+$B$8*G54)/(1+F16/100),"")</f>
        <v/>
      </c>
      <c r="G54" s="16" t="str">
        <f>IF($B54&lt;= G$49, (G16/100-$C$62)/(1+G16/100) +($B$7*H53+$B$8*H54)/(1+G16/100),"")</f>
        <v/>
      </c>
      <c r="H54" s="16">
        <f>IF($B54&lt;= H$49, (H16/100-$C$62)/(1+H16/100) +($B$7*I53+$B$8*I54)/(1+H16/100),"")</f>
        <v>5.2288976663643322E-2</v>
      </c>
      <c r="I54" s="16">
        <f>IF($B54&lt;= I$49, (I16/100-$C$62)/(1+I16/100) +($B$7*J53+$B$8*J54)/(1+I16/100),"")</f>
        <v>3.4057985928454465E-2</v>
      </c>
      <c r="J54" s="16">
        <f>IF($B54&lt;= J$49, (J16/100-$C$62)/(1+J16/100) +($B$7*K53+$B$8*K54)/(1+J16/100),"")</f>
        <v>2.1304582585848955E-2</v>
      </c>
      <c r="K54" s="16">
        <f>IF($B54&lt;= K$49, (K16/100-$C$62)/(1+K16/100) +($B$7*L53+$B$8*L54)/(1+K16/100),"")</f>
        <v>1.1291785908573229E-2</v>
      </c>
      <c r="L54" s="16">
        <f>IF($B54&lt;= L$49, (L16/100-$C$62)/(1+L16/100),"")</f>
        <v>4.1560306336277889E-3</v>
      </c>
      <c r="M54" s="3"/>
      <c r="N54" s="3"/>
      <c r="O54" s="3"/>
      <c r="P54" s="3"/>
    </row>
    <row r="55" spans="1:16" x14ac:dyDescent="0.2">
      <c r="A55" s="11"/>
      <c r="B55" s="11">
        <v>4</v>
      </c>
      <c r="C55" s="15" t="str">
        <f>IF($B55&lt;= C$49, ($B$7*D54+$B$8*D55)/(1+C17/100),"")</f>
        <v/>
      </c>
      <c r="D55" s="15" t="str">
        <f>IF($B55&lt;= D$49, ($B$7*E54+$B$8*E55)/(1+D17/100),"")</f>
        <v/>
      </c>
      <c r="E55" s="15" t="str">
        <f>IF($B55&lt;= E$49, MAX((E17/100-$C$62)/(1+E17/100) +($B$7*F54+$B$8*F55)/(1+E17/100) - $C$65,0),"")</f>
        <v/>
      </c>
      <c r="F55" s="16" t="str">
        <f>IF($B55&lt;= F$49, (F17/100-$C$62)/(1+F17/100) +($B$7*G54+$B$8*G55)/(1+F17/100),"")</f>
        <v/>
      </c>
      <c r="G55" s="16">
        <f>IF($B55&lt;= G$49, (G17/100-$C$62)/(1+G17/100) +($B$7*H54+$B$8*H55)/(1+G17/100),"")</f>
        <v>4.7066920139883978E-2</v>
      </c>
      <c r="H55" s="16">
        <f>IF($B55&lt;= H$49, (H17/100-$C$62)/(1+H17/100) +($B$7*I54+$B$8*I55)/(1+H17/100),"")</f>
        <v>3.1729299804193978E-2</v>
      </c>
      <c r="I55" s="16">
        <f>IF($B55&lt;= I$49, (I17/100-$C$62)/(1+I17/100) +($B$7*J54+$B$8*J55)/(1+I17/100),"")</f>
        <v>1.7810190826354204E-2</v>
      </c>
      <c r="J55" s="16">
        <f>IF($B55&lt;= J$49, (J17/100-$C$62)/(1+J17/100) +($B$7*K54+$B$8*K55)/(1+J17/100),"")</f>
        <v>9.1879031808655854E-3</v>
      </c>
      <c r="K55" s="16">
        <f>IF($B55&lt;= K$49, (K17/100-$C$62)/(1+K17/100) +($B$7*L54+$B$8*L55)/(1+K17/100),"")</f>
        <v>3.287956566210031E-3</v>
      </c>
      <c r="L55" s="16">
        <f>IF($B55&lt;= L$49, (L17/100-$C$62)/(1+L17/100),"")</f>
        <v>2.0415298307857233E-4</v>
      </c>
      <c r="M55" s="3"/>
      <c r="N55" s="3"/>
      <c r="O55" s="3"/>
      <c r="P55" s="3"/>
    </row>
    <row r="56" spans="1:16" x14ac:dyDescent="0.2">
      <c r="A56" s="11"/>
      <c r="B56" s="11">
        <v>3</v>
      </c>
      <c r="C56" s="15" t="str">
        <f>IF($B56&lt;= C$49, ($B$7*D55+$B$8*D56)/(1+C18/100),"")</f>
        <v/>
      </c>
      <c r="D56" s="15" t="str">
        <f>IF($B56&lt;= D$49, ($B$7*E55+$B$8*E56)/(1+D18/100),"")</f>
        <v/>
      </c>
      <c r="E56" s="15" t="str">
        <f>IF($B56&lt;= E$49, MAX((E18/100-$C$62)/(1+E18/100) +($B$7*F55+$B$8*F56)/(1+E18/100) - $C$65,0),"")</f>
        <v/>
      </c>
      <c r="F56" s="16">
        <f>IF($B56&lt;= F$49, MAX((F18/100-$C$62)/(1+F18/100) +($B$7*G55+$B$8*G56)/(1+F18/100),0),"")</f>
        <v>3.6706523870732678E-2</v>
      </c>
      <c r="G56" s="16">
        <f>IF($B56&lt;= G$49, (G18/100-$C$62)/(1+G18/100) +($B$7*H55+$B$8*H56)/(1+G18/100),"")</f>
        <v>2.4012711721690984E-2</v>
      </c>
      <c r="H56" s="16">
        <f>IF($B56&lt;= H$49, (H18/100-$C$62)/(1+H18/100) +($B$7*I55+$B$8*I56)/(1+H18/100),"")</f>
        <v>1.2636958728084079E-2</v>
      </c>
      <c r="I56" s="16">
        <f>IF($B56&lt;= I$49, (I18/100-$C$62)/(1+I18/100) +($B$7*J55+$B$8*J56)/(1+I18/100),"")</f>
        <v>2.8005263844328668E-3</v>
      </c>
      <c r="J56" s="16">
        <f>IF($B56&lt;= J$49, (J18/100-$C$62)/(1+J18/100) +($B$7*K55+$B$8*K56)/(1+J18/100),"")</f>
        <v>-1.9535385415241106E-3</v>
      </c>
      <c r="K56" s="16">
        <f>IF($B56&lt;= K$49, (K18/100-$C$62)/(1+K18/100) +($B$7*L55+$B$8*L56)/(1+K18/100),"")</f>
        <v>-4.0394214576142569E-3</v>
      </c>
      <c r="L56" s="16">
        <f>IF($B56&lt;= L$49, (L18/100-$C$62)/(1+L18/100),"")</f>
        <v>-3.3987810753340559E-3</v>
      </c>
      <c r="M56" s="3"/>
      <c r="N56" s="3"/>
      <c r="O56" s="3"/>
      <c r="P56" s="3"/>
    </row>
    <row r="57" spans="1:16" x14ac:dyDescent="0.2">
      <c r="A57" s="11"/>
      <c r="B57" s="11">
        <v>2</v>
      </c>
      <c r="C57" s="16" t="str">
        <f>IF($B57&lt;= C$49, ($B$7*D56+$B$8*D57)/(1+C19/100),"")</f>
        <v/>
      </c>
      <c r="D57" s="16" t="str">
        <f t="shared" ref="D57:E57" si="1">IF($B57&lt;= D$49, ($B$7*E56+$B$8*E57)/(1+D19/100),"")</f>
        <v/>
      </c>
      <c r="E57" s="16">
        <f t="shared" si="1"/>
        <v>2.3267719275672338E-2</v>
      </c>
      <c r="F57" s="16">
        <f t="shared" ref="F57:F59" si="2">IF($B57&lt;= F$49, MAX((F19/100-$C$62)/(1+F19/100) +($B$7*G56+$B$8*G57)/(1+F19/100),0),"")</f>
        <v>1.1573727544710234E-2</v>
      </c>
      <c r="G57" s="16">
        <f>IF($B57&lt;= G$49, (G19/100-$C$62)/(1+G19/100) +($B$7*H56+$B$8*H57)/(1+G19/100),"")</f>
        <v>2.5495796536129847E-3</v>
      </c>
      <c r="H57" s="16">
        <f>IF($B57&lt;= H$49, (H19/100-$C$62)/(1+H19/100) +($B$7*I56+$B$8*I57)/(1+H19/100),"")</f>
        <v>-5.0509590672024761E-3</v>
      </c>
      <c r="I57" s="16">
        <f>IF($B57&lt;= I$49, (I19/100-$C$62)/(1+I19/100) +($B$7*J56+$B$8*J57)/(1+I19/100),"")</f>
        <v>-1.1039132738516148E-2</v>
      </c>
      <c r="J57" s="16">
        <f>IF($B57&lt;= J$49, (J19/100-$C$62)/(1+J19/100) +($B$7*K56+$B$8*K57)/(1+J19/100),"")</f>
        <v>-1.2183162199210444E-2</v>
      </c>
      <c r="K57" s="16">
        <f>IF($B57&lt;= K$49, (K19/100-$C$62)/(1+K19/100) +($B$7*L56+$B$8*L57)/(1+K19/100),"")</f>
        <v>-1.0740325444545461E-2</v>
      </c>
      <c r="L57" s="16">
        <f>IF($B57&lt;= L$49, (L19/100-$C$62)/(1+L19/100),"")</f>
        <v>-6.6813022726951114E-3</v>
      </c>
      <c r="M57" s="3"/>
      <c r="N57" s="3"/>
      <c r="O57" s="3"/>
      <c r="P57" s="3"/>
    </row>
    <row r="58" spans="1:16" x14ac:dyDescent="0.2">
      <c r="A58" s="11"/>
      <c r="B58" s="11">
        <v>1</v>
      </c>
      <c r="C58" s="16" t="str">
        <f>IF($B58&lt;= C$49, ($B$7*D57+$B$8*D58)/(1+C20/100),"")</f>
        <v/>
      </c>
      <c r="D58" s="16">
        <f t="shared" ref="D58:E58" si="3">IF($B58&lt;= D$49, ($B$7*E57+$B$8*E58)/(1+D20/100),"")</f>
        <v>1.3963155316041278E-2</v>
      </c>
      <c r="E58" s="16">
        <f t="shared" si="3"/>
        <v>5.5969793660291343E-3</v>
      </c>
      <c r="F58" s="16">
        <f t="shared" si="2"/>
        <v>0</v>
      </c>
      <c r="G58" s="16">
        <f>IF($B58&lt;= G$49, (G20/100-$C$62)/(1+G20/100) +($B$7*H57+$B$8*H58)/(1+G20/100),"")</f>
        <v>-1.7380529789041275E-2</v>
      </c>
      <c r="H58" s="16">
        <f>IF($B58&lt;= H$49, (H20/100-$C$62)/(1+H20/100) +($B$7*I57+$B$8*I58)/(1+H20/100),"")</f>
        <v>-2.1402480948305724E-2</v>
      </c>
      <c r="I58" s="16">
        <f>IF($B58&lt;= I$49, (I20/100-$C$62)/(1+I20/100) +($B$7*J57+$B$8*J58)/(1+I20/100),"")</f>
        <v>-2.3777970342951649E-2</v>
      </c>
      <c r="J58" s="16">
        <f>IF($B58&lt;= J$49, (J20/100-$C$62)/(1+J20/100) +($B$7*K57+$B$8*K58)/(1+J20/100),"")</f>
        <v>-2.1562988964972572E-2</v>
      </c>
      <c r="K58" s="16">
        <f>IF($B58&lt;= K$49, (K20/100-$C$62)/(1+K20/100) +($B$7*L57+$B$8*L58)/(1+K20/100),"")</f>
        <v>-1.6862327829163914E-2</v>
      </c>
      <c r="L58" s="16">
        <f>IF($B58&lt;= L$49, (L20/100-$C$62)/(1+L20/100),"")</f>
        <v>-9.6700136736342455E-3</v>
      </c>
      <c r="M58" s="3"/>
      <c r="N58" s="3"/>
      <c r="O58" s="3"/>
      <c r="P58" s="3"/>
    </row>
    <row r="59" spans="1:16" x14ac:dyDescent="0.2">
      <c r="A59" s="11"/>
      <c r="B59" s="11">
        <v>0</v>
      </c>
      <c r="C59" s="16">
        <f>IF($B59&lt;= C$49, ($B$7*D58+$B$8*D59)/(1+C21/100),"")</f>
        <v>8.0966354497357378E-3</v>
      </c>
      <c r="D59" s="16">
        <f t="shared" ref="D59:E59" si="4">IF($B59&lt;= D$49, ($B$7*E58+$B$8*E59)/(1+D21/100),"")</f>
        <v>2.7159133954107492E-3</v>
      </c>
      <c r="E59" s="16">
        <f>IF($B59&lt;= E$49, ($B$7*F58+$B$8*F59)/(1+E21/100),"")</f>
        <v>0</v>
      </c>
      <c r="F59" s="16">
        <f t="shared" si="2"/>
        <v>0</v>
      </c>
      <c r="G59" s="16">
        <f>IF($B59&lt;= G$49, (G21/100-$C$62)/(1+G21/100) +($B$7*H58+$B$8*H59)/(1+G21/100),"")</f>
        <v>-3.5843357230813083E-2</v>
      </c>
      <c r="H59" s="16">
        <f>IF($B59&lt;= H$49, (H21/100-$C$62)/(1+H21/100) +($B$7*I58+$B$8*I59)/(1+H21/100),"")</f>
        <v>-3.6488888086403999E-2</v>
      </c>
      <c r="I59" s="16">
        <f>IF($B59&lt;= I$49, (I21/100-$C$62)/(1+I21/100) +($B$7*J58+$B$8*J59)/(1+I21/100),"")</f>
        <v>-3.5485102698624982E-2</v>
      </c>
      <c r="J59" s="16">
        <f>IF($B59&lt;= J$49, (J21/100-$C$62)/(1+J21/100) +($B$7*K58+$B$8*K59)/(1+J21/100),"")</f>
        <v>-3.015309815372073E-2</v>
      </c>
      <c r="K59" s="15">
        <f>IF($B59&lt;= K$49, (K21/100-$C$62)/(1+K21/100) +($B$7*L58+$B$8*L59)/(1+K21/100),"")</f>
        <v>-2.2450461385665598E-2</v>
      </c>
      <c r="L59" s="15">
        <f>IF($B59&lt;= L$49, (L21/100-$C$62)/(1+L21/100),"")</f>
        <v>-1.2389646188272591E-2</v>
      </c>
      <c r="M59" s="3"/>
      <c r="N59" s="3"/>
      <c r="O59" s="3"/>
      <c r="P59" s="3"/>
    </row>
    <row r="62" spans="1:16" x14ac:dyDescent="0.2">
      <c r="A62" s="12" t="s">
        <v>14</v>
      </c>
      <c r="B62" s="10"/>
      <c r="C62" s="17">
        <v>3.9E-2</v>
      </c>
      <c r="D62" s="1" t="s">
        <v>28</v>
      </c>
    </row>
    <row r="63" spans="1:16" x14ac:dyDescent="0.2">
      <c r="A63" s="12" t="s">
        <v>15</v>
      </c>
      <c r="C63" s="18">
        <v>3</v>
      </c>
      <c r="D63" s="12" t="s">
        <v>18</v>
      </c>
    </row>
    <row r="64" spans="1:16" x14ac:dyDescent="0.2">
      <c r="A64" s="12" t="s">
        <v>16</v>
      </c>
      <c r="C64" s="13">
        <v>10</v>
      </c>
      <c r="D64" s="12" t="s">
        <v>19</v>
      </c>
    </row>
    <row r="65" spans="1:19" x14ac:dyDescent="0.2">
      <c r="A65" s="12" t="s">
        <v>17</v>
      </c>
      <c r="C65" s="14">
        <v>0</v>
      </c>
      <c r="D65" s="12" t="s">
        <v>22</v>
      </c>
    </row>
    <row r="66" spans="1:19" x14ac:dyDescent="0.2">
      <c r="A66" s="12" t="s">
        <v>21</v>
      </c>
      <c r="C66" s="13">
        <v>1</v>
      </c>
    </row>
    <row r="67" spans="1:19" x14ac:dyDescent="0.2">
      <c r="A67" s="1" t="s">
        <v>29</v>
      </c>
      <c r="C67">
        <f>C59*1000000</f>
        <v>8096.6354497357379</v>
      </c>
    </row>
    <row r="77" spans="1:19" x14ac:dyDescent="0.2">
      <c r="O77" t="s">
        <v>5</v>
      </c>
    </row>
    <row r="79" spans="1:19" x14ac:dyDescent="0.2">
      <c r="S79" t="s">
        <v>5</v>
      </c>
    </row>
    <row r="107" spans="9:9" x14ac:dyDescent="0.2">
      <c r="I107" t="s">
        <v>5</v>
      </c>
    </row>
  </sheetData>
  <mergeCells count="11">
    <mergeCell ref="A24:B24"/>
    <mergeCell ref="A1:H1"/>
    <mergeCell ref="A3:B3"/>
    <mergeCell ref="A4:B4"/>
    <mergeCell ref="A5:B5"/>
    <mergeCell ref="A10:B10"/>
    <mergeCell ref="A48:C48"/>
    <mergeCell ref="A42:C42"/>
    <mergeCell ref="A43:C43"/>
    <mergeCell ref="A39:C39"/>
    <mergeCell ref="A40:C40"/>
  </mergeCells>
  <phoneticPr fontId="4" type="noConversion"/>
  <pageMargins left="0.53" right="0.38" top="0.63" bottom="5.31" header="0.5" footer="0.5"/>
  <pageSetup orientation="portrait"/>
  <headerFooter alignWithMargins="0"/>
  <ignoredErrors>
    <ignoredError sqref="D21" formula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34" workbookViewId="0">
      <selection activeCell="N53" sqref="N53"/>
    </sheetView>
  </sheetViews>
  <sheetFormatPr defaultRowHeight="12.75" x14ac:dyDescent="0.2"/>
  <cols>
    <col min="1" max="1" width="17.1640625" customWidth="1"/>
    <col min="12" max="12" width="10.5" bestFit="1" customWidth="1"/>
  </cols>
  <sheetData>
    <row r="1" spans="1:12" ht="13.5" thickBot="1" x14ac:dyDescent="0.25">
      <c r="A1" s="48" t="s">
        <v>24</v>
      </c>
      <c r="B1" s="49"/>
      <c r="E1" s="1"/>
    </row>
    <row r="2" spans="1:12" x14ac:dyDescent="0.2">
      <c r="A2" s="19" t="s">
        <v>0</v>
      </c>
      <c r="B2" s="28">
        <v>0.05</v>
      </c>
    </row>
    <row r="3" spans="1:12" x14ac:dyDescent="0.2">
      <c r="A3" s="20" t="s">
        <v>1</v>
      </c>
      <c r="B3" s="24">
        <v>1.1000000000000001</v>
      </c>
    </row>
    <row r="4" spans="1:12" x14ac:dyDescent="0.2">
      <c r="A4" s="20" t="s">
        <v>2</v>
      </c>
      <c r="B4" s="25">
        <v>0.9</v>
      </c>
    </row>
    <row r="5" spans="1:12" x14ac:dyDescent="0.2">
      <c r="A5" s="20" t="s">
        <v>3</v>
      </c>
      <c r="B5" s="26">
        <v>0.5</v>
      </c>
      <c r="F5" s="1"/>
    </row>
    <row r="6" spans="1:12" ht="13.5" thickBot="1" x14ac:dyDescent="0.25">
      <c r="A6" s="20" t="s">
        <v>4</v>
      </c>
      <c r="B6" s="26">
        <f>1-B5</f>
        <v>0.5</v>
      </c>
      <c r="F6" s="1"/>
    </row>
    <row r="7" spans="1:12" ht="13.5" thickBot="1" x14ac:dyDescent="0.25">
      <c r="A7" s="48" t="s">
        <v>32</v>
      </c>
      <c r="B7" s="49"/>
      <c r="F7" s="1"/>
    </row>
    <row r="8" spans="1:12" x14ac:dyDescent="0.2">
      <c r="A8" s="20" t="s">
        <v>8</v>
      </c>
      <c r="B8" s="26">
        <v>0.01</v>
      </c>
      <c r="F8" s="1"/>
    </row>
    <row r="9" spans="1:12" x14ac:dyDescent="0.2">
      <c r="A9" s="20" t="s">
        <v>10</v>
      </c>
      <c r="B9" s="26">
        <v>1.01</v>
      </c>
      <c r="F9" s="1"/>
    </row>
    <row r="10" spans="1:12" ht="13.5" thickBot="1" x14ac:dyDescent="0.25">
      <c r="A10" s="21" t="s">
        <v>33</v>
      </c>
      <c r="B10" s="27">
        <v>0.2</v>
      </c>
    </row>
    <row r="11" spans="1:12" x14ac:dyDescent="0.2">
      <c r="C11" s="6"/>
      <c r="D11" s="6"/>
      <c r="E11" s="6"/>
      <c r="F11" s="6"/>
      <c r="G11" s="6"/>
      <c r="H11" s="6"/>
      <c r="I11" s="6"/>
      <c r="J11" s="6"/>
      <c r="K11" s="6"/>
    </row>
    <row r="12" spans="1:12" x14ac:dyDescent="0.2">
      <c r="A12" s="9"/>
      <c r="B12" s="9"/>
      <c r="C12" s="9"/>
      <c r="D12" s="9"/>
      <c r="E12" s="9"/>
      <c r="F12" s="9"/>
      <c r="G12" s="9"/>
    </row>
    <row r="13" spans="1:12" x14ac:dyDescent="0.2">
      <c r="A13" s="68" t="s">
        <v>23</v>
      </c>
      <c r="B13" s="68"/>
      <c r="C13" s="69"/>
      <c r="D13" s="69"/>
      <c r="E13" s="69"/>
      <c r="F13" s="69"/>
      <c r="G13" s="69"/>
    </row>
    <row r="14" spans="1:12" x14ac:dyDescent="0.2">
      <c r="A14" s="69"/>
      <c r="B14" s="29">
        <v>0</v>
      </c>
      <c r="C14" s="29">
        <v>1</v>
      </c>
      <c r="D14" s="29">
        <v>2</v>
      </c>
      <c r="E14" s="29">
        <v>3</v>
      </c>
      <c r="F14" s="29">
        <v>4</v>
      </c>
      <c r="G14" s="29">
        <v>5</v>
      </c>
      <c r="H14" s="29">
        <v>6</v>
      </c>
      <c r="I14" s="29">
        <v>7</v>
      </c>
      <c r="J14" s="29">
        <v>8</v>
      </c>
      <c r="K14" s="29">
        <v>9</v>
      </c>
      <c r="L14" s="29">
        <v>10</v>
      </c>
    </row>
    <row r="15" spans="1:12" x14ac:dyDescent="0.2">
      <c r="A15" s="29">
        <v>10</v>
      </c>
      <c r="C15" s="70" t="str">
        <f ca="1">IF($A15 &lt; C$14, $B$4*OFFSET(C15,0,-1),IF($A15=C$14,$B$3*OFFSET(C15,1,-1),""))</f>
        <v/>
      </c>
      <c r="D15" s="70" t="str">
        <f ca="1">IF($A15 &lt; D$14, $B$4*OFFSET(D15,0,-1),IF($A15=D$14,$B$3*OFFSET(D15,1,-1),""))</f>
        <v/>
      </c>
      <c r="E15" s="70" t="str">
        <f ca="1">IF($A15 &lt; E$14, $B$4*OFFSET(E15,0,-1),IF($A15=E$14,$B$3*OFFSET(E15,1,-1),""))</f>
        <v/>
      </c>
      <c r="F15" s="70" t="str">
        <f ca="1">IF($A15 &lt; F$14, $B$4*OFFSET(F15,0,-1),IF($A15=F$14,$B$3*OFFSET(F15,1,-1),""))</f>
        <v/>
      </c>
      <c r="G15" s="70" t="str">
        <f ca="1">IF($A15 &lt; G$14, $B$4*OFFSET(G15,0,-1),IF($A15=G$14,$B$3*OFFSET(G15,1,-1),""))</f>
        <v/>
      </c>
      <c r="H15" s="70" t="str">
        <f ca="1">IF($A15 &lt; H$14, $B$4*OFFSET(H15,0,-1),IF($A15=H$14,$B$3*OFFSET(H15,1,-1),""))</f>
        <v/>
      </c>
      <c r="I15" s="70" t="str">
        <f ca="1">IF($A15 &lt; I$14, $B$4*OFFSET(I15,0,-1),IF($A15=I$14,$B$3*OFFSET(I15,1,-1),""))</f>
        <v/>
      </c>
      <c r="J15" s="70" t="str">
        <f ca="1">IF($A15 &lt; J$14, $B$4*OFFSET(J15,0,-1),IF($A15=J$14,$B$3*OFFSET(J15,1,-1),""))</f>
        <v/>
      </c>
      <c r="K15" s="70" t="str">
        <f ca="1">IF($A15 &lt; K$14, $B$4*OFFSET(K15,0,-1),IF($A15=K$14,$B$3*OFFSET(K15,1,-1),""))</f>
        <v/>
      </c>
      <c r="L15" s="70">
        <f ca="1">IF($A15 &lt; L$14, $B$4*OFFSET(L15,0,-1),IF($A15=L$14,$B$3*OFFSET(L15,1,-1),""))</f>
        <v>0.12968712300500007</v>
      </c>
    </row>
    <row r="16" spans="1:12" x14ac:dyDescent="0.2">
      <c r="A16" s="29">
        <v>9</v>
      </c>
      <c r="C16" s="70" t="str">
        <f ca="1">IF($A16 &lt; C$14, $B$4*OFFSET(C16,0,-1),IF($A16=C$14,$B$3*OFFSET(C16,1,-1),""))</f>
        <v/>
      </c>
      <c r="D16" s="70" t="str">
        <f ca="1">IF($A16 &lt; D$14, $B$4*OFFSET(D16,0,-1),IF($A16=D$14,$B$3*OFFSET(D16,1,-1),""))</f>
        <v/>
      </c>
      <c r="E16" s="70" t="str">
        <f ca="1">IF($A16 &lt; E$14, $B$4*OFFSET(E16,0,-1),IF($A16=E$14,$B$3*OFFSET(E16,1,-1),""))</f>
        <v/>
      </c>
      <c r="F16" s="70" t="str">
        <f ca="1">IF($A16 &lt; F$14, $B$4*OFFSET(F16,0,-1),IF($A16=F$14,$B$3*OFFSET(F16,1,-1),""))</f>
        <v/>
      </c>
      <c r="G16" s="70" t="str">
        <f ca="1">IF($A16 &lt; G$14, $B$4*OFFSET(G16,0,-1),IF($A16=G$14,$B$3*OFFSET(G16,1,-1),""))</f>
        <v/>
      </c>
      <c r="H16" s="70" t="str">
        <f ca="1">IF($A16 &lt; H$14, $B$4*OFFSET(H16,0,-1),IF($A16=H$14,$B$3*OFFSET(H16,1,-1),""))</f>
        <v/>
      </c>
      <c r="I16" s="70" t="str">
        <f ca="1">IF($A16 &lt; I$14, $B$4*OFFSET(I16,0,-1),IF($A16=I$14,$B$3*OFFSET(I16,1,-1),""))</f>
        <v/>
      </c>
      <c r="J16" s="70" t="str">
        <f ca="1">IF($A16 &lt; J$14, $B$4*OFFSET(J16,0,-1),IF($A16=J$14,$B$3*OFFSET(J16,1,-1),""))</f>
        <v/>
      </c>
      <c r="K16" s="70">
        <f ca="1">IF($A16 &lt; K$14, $B$4*OFFSET(K16,0,-1),IF($A16=K$14,$B$3*OFFSET(K16,1,-1),""))</f>
        <v>0.11789738455000007</v>
      </c>
      <c r="L16" s="70">
        <f ca="1">IF($A16 &lt; L$14, $B$4*OFFSET(L16,0,-1),IF($A16=L$14,$B$3*OFFSET(L16,1,-1),""))</f>
        <v>0.10610764609500006</v>
      </c>
    </row>
    <row r="17" spans="1:12" x14ac:dyDescent="0.2">
      <c r="A17" s="29">
        <v>8</v>
      </c>
      <c r="C17" s="70" t="str">
        <f ca="1">IF($A17 &lt; C$14, $B$4*OFFSET(C17,0,-1),IF($A17=C$14,$B$3*OFFSET(C17,1,-1),""))</f>
        <v/>
      </c>
      <c r="D17" s="70" t="str">
        <f ca="1">IF($A17 &lt; D$14, $B$4*OFFSET(D17,0,-1),IF($A17=D$14,$B$3*OFFSET(D17,1,-1),""))</f>
        <v/>
      </c>
      <c r="E17" s="70" t="str">
        <f ca="1">IF($A17 &lt; E$14, $B$4*OFFSET(E17,0,-1),IF($A17=E$14,$B$3*OFFSET(E17,1,-1),""))</f>
        <v/>
      </c>
      <c r="F17" s="70" t="str">
        <f ca="1">IF($A17 &lt; F$14, $B$4*OFFSET(F17,0,-1),IF($A17=F$14,$B$3*OFFSET(F17,1,-1),""))</f>
        <v/>
      </c>
      <c r="G17" s="70" t="str">
        <f ca="1">IF($A17 &lt; G$14, $B$4*OFFSET(G17,0,-1),IF($A17=G$14,$B$3*OFFSET(G17,1,-1),""))</f>
        <v/>
      </c>
      <c r="H17" s="70" t="str">
        <f ca="1">IF($A17 &lt; H$14, $B$4*OFFSET(H17,0,-1),IF($A17=H$14,$B$3*OFFSET(H17,1,-1),""))</f>
        <v/>
      </c>
      <c r="I17" s="70" t="str">
        <f ca="1">IF($A17 &lt; I$14, $B$4*OFFSET(I17,0,-1),IF($A17=I$14,$B$3*OFFSET(I17,1,-1),""))</f>
        <v/>
      </c>
      <c r="J17" s="70">
        <f ca="1">IF($A17 &lt; J$14, $B$4*OFFSET(J17,0,-1),IF($A17=J$14,$B$3*OFFSET(J17,1,-1),""))</f>
        <v>0.10717944050000006</v>
      </c>
      <c r="K17" s="70">
        <f ca="1">IF($A17 &lt; K$14, $B$4*OFFSET(K17,0,-1),IF($A17=K$14,$B$3*OFFSET(K17,1,-1),""))</f>
        <v>9.6461496450000059E-2</v>
      </c>
      <c r="L17" s="70">
        <f ca="1">IF($A17 &lt; L$14, $B$4*OFFSET(L17,0,-1),IF($A17=L$14,$B$3*OFFSET(L17,1,-1),""))</f>
        <v>8.6815346805000054E-2</v>
      </c>
    </row>
    <row r="18" spans="1:12" x14ac:dyDescent="0.2">
      <c r="A18" s="29">
        <v>7</v>
      </c>
      <c r="C18" s="70" t="str">
        <f ca="1">IF($A18 &lt; C$14, $B$4*OFFSET(C18,0,-1),IF($A18=C$14,$B$3*OFFSET(C18,1,-1),""))</f>
        <v/>
      </c>
      <c r="D18" s="70" t="str">
        <f ca="1">IF($A18 &lt; D$14, $B$4*OFFSET(D18,0,-1),IF($A18=D$14,$B$3*OFFSET(D18,1,-1),""))</f>
        <v/>
      </c>
      <c r="E18" s="70" t="str">
        <f ca="1">IF($A18 &lt; E$14, $B$4*OFFSET(E18,0,-1),IF($A18=E$14,$B$3*OFFSET(E18,1,-1),""))</f>
        <v/>
      </c>
      <c r="F18" s="70" t="str">
        <f ca="1">IF($A18 &lt; F$14, $B$4*OFFSET(F18,0,-1),IF($A18=F$14,$B$3*OFFSET(F18,1,-1),""))</f>
        <v/>
      </c>
      <c r="G18" s="70" t="str">
        <f ca="1">IF($A18 &lt; G$14, $B$4*OFFSET(G18,0,-1),IF($A18=G$14,$B$3*OFFSET(G18,1,-1),""))</f>
        <v/>
      </c>
      <c r="H18" s="70" t="str">
        <f ca="1">IF($A18 &lt; H$14, $B$4*OFFSET(H18,0,-1),IF($A18=H$14,$B$3*OFFSET(H18,1,-1),""))</f>
        <v/>
      </c>
      <c r="I18" s="70">
        <f ca="1">IF($A18 &lt; I$14, $B$4*OFFSET(I18,0,-1),IF($A18=I$14,$B$3*OFFSET(I18,1,-1),""))</f>
        <v>9.7435855000000043E-2</v>
      </c>
      <c r="J18" s="70">
        <f ca="1">IF($A18 &lt; J$14, $B$4*OFFSET(J18,0,-1),IF($A18=J$14,$B$3*OFFSET(J18,1,-1),""))</f>
        <v>8.7692269500000045E-2</v>
      </c>
      <c r="K18" s="70">
        <f ca="1">IF($A18 &lt; K$14, $B$4*OFFSET(K18,0,-1),IF($A18=K$14,$B$3*OFFSET(K18,1,-1),""))</f>
        <v>7.8923042550000044E-2</v>
      </c>
      <c r="L18" s="70">
        <f ca="1">IF($A18 &lt; L$14, $B$4*OFFSET(L18,0,-1),IF($A18=L$14,$B$3*OFFSET(L18,1,-1),""))</f>
        <v>7.1030738295000048E-2</v>
      </c>
    </row>
    <row r="19" spans="1:12" x14ac:dyDescent="0.2">
      <c r="A19" s="29">
        <v>6</v>
      </c>
      <c r="C19" s="70" t="str">
        <f ca="1">IF($A19 &lt; C$14, $B$4*OFFSET(C19,0,-1),IF($A19=C$14,$B$3*OFFSET(C19,1,-1),""))</f>
        <v/>
      </c>
      <c r="D19" s="70" t="str">
        <f ca="1">IF($A19 &lt; D$14, $B$4*OFFSET(D19,0,-1),IF($A19=D$14,$B$3*OFFSET(D19,1,-1),""))</f>
        <v/>
      </c>
      <c r="E19" s="70" t="str">
        <f ca="1">IF($A19 &lt; E$14, $B$4*OFFSET(E19,0,-1),IF($A19=E$14,$B$3*OFFSET(E19,1,-1),""))</f>
        <v/>
      </c>
      <c r="F19" s="70" t="str">
        <f ca="1">IF($A19 &lt; F$14, $B$4*OFFSET(F19,0,-1),IF($A19=F$14,$B$3*OFFSET(F19,1,-1),""))</f>
        <v/>
      </c>
      <c r="G19" s="70" t="str">
        <f ca="1">IF($A19 &lt; G$14, $B$4*OFFSET(G19,0,-1),IF($A19=G$14,$B$3*OFFSET(G19,1,-1),""))</f>
        <v/>
      </c>
      <c r="H19" s="70">
        <f ca="1">IF($A19 &lt; H$14, $B$4*OFFSET(H19,0,-1),IF($A19=H$14,$B$3*OFFSET(H19,1,-1),""))</f>
        <v>8.8578050000000033E-2</v>
      </c>
      <c r="I19" s="70">
        <f ca="1">IF($A19 &lt; I$14, $B$4*OFFSET(I19,0,-1),IF($A19=I$14,$B$3*OFFSET(I19,1,-1),""))</f>
        <v>7.9720245000000037E-2</v>
      </c>
      <c r="J19" s="70">
        <f ca="1">IF($A19 &lt; J$14, $B$4*OFFSET(J19,0,-1),IF($A19=J$14,$B$3*OFFSET(J19,1,-1),""))</f>
        <v>7.1748220500000029E-2</v>
      </c>
      <c r="K19" s="70">
        <f ca="1">IF($A19 &lt; K$14, $B$4*OFFSET(K19,0,-1),IF($A19=K$14,$B$3*OFFSET(K19,1,-1),""))</f>
        <v>6.4573398450000027E-2</v>
      </c>
      <c r="L19" s="70">
        <f ca="1">IF($A19 &lt; L$14, $B$4*OFFSET(L19,0,-1),IF($A19=L$14,$B$3*OFFSET(L19,1,-1),""))</f>
        <v>5.8116058605000027E-2</v>
      </c>
    </row>
    <row r="20" spans="1:12" x14ac:dyDescent="0.2">
      <c r="A20" s="29">
        <v>5</v>
      </c>
      <c r="B20" s="30"/>
      <c r="C20" s="70" t="str">
        <f ca="1">IF($A20 &lt; C$14, $B$4*OFFSET(C20,0,-1),IF($A20=C$14,$B$3*OFFSET(C20,1,-1),""))</f>
        <v/>
      </c>
      <c r="D20" s="70" t="str">
        <f ca="1">IF($A20 &lt; D$14, $B$4*OFFSET(D20,0,-1),IF($A20=D$14,$B$3*OFFSET(D20,1,-1),""))</f>
        <v/>
      </c>
      <c r="E20" s="70" t="str">
        <f ca="1">IF($A20 &lt; E$14, $B$4*OFFSET(E20,0,-1),IF($A20=E$14,$B$3*OFFSET(E20,1,-1),""))</f>
        <v/>
      </c>
      <c r="F20" s="70" t="str">
        <f ca="1">IF($A20 &lt; F$14, $B$4*OFFSET(F20,0,-1),IF($A20=F$14,$B$3*OFFSET(F20,1,-1),""))</f>
        <v/>
      </c>
      <c r="G20" s="70">
        <f ca="1">IF($A20 &lt; G$14, $B$4*OFFSET(G20,0,-1),IF($A20=G$14,$B$3*OFFSET(G20,1,-1),""))</f>
        <v>8.0525500000000028E-2</v>
      </c>
      <c r="H20" s="70">
        <f ca="1">IF($A20 &lt; H$14, $B$4*OFFSET(H20,0,-1),IF($A20=H$14,$B$3*OFFSET(H20,1,-1),""))</f>
        <v>7.2472950000000022E-2</v>
      </c>
      <c r="I20" s="70">
        <f ca="1">IF($A20 &lt; I$14, $B$4*OFFSET(I20,0,-1),IF($A20=I$14,$B$3*OFFSET(I20,1,-1),""))</f>
        <v>6.5225655000000021E-2</v>
      </c>
      <c r="J20" s="70">
        <f ca="1">IF($A20 &lt; J$14, $B$4*OFFSET(J20,0,-1),IF($A20=J$14,$B$3*OFFSET(J20,1,-1),""))</f>
        <v>5.8703089500000021E-2</v>
      </c>
      <c r="K20" s="70">
        <f ca="1">IF($A20 &lt; K$14, $B$4*OFFSET(K20,0,-1),IF($A20=K$14,$B$3*OFFSET(K20,1,-1),""))</f>
        <v>5.2832780550000021E-2</v>
      </c>
      <c r="L20" s="70">
        <f ca="1">IF($A20 &lt; L$14, $B$4*OFFSET(L20,0,-1),IF($A20=L$14,$B$3*OFFSET(L20,1,-1),""))</f>
        <v>4.7549502495000021E-2</v>
      </c>
    </row>
    <row r="21" spans="1:12" x14ac:dyDescent="0.2">
      <c r="A21" s="29">
        <v>4</v>
      </c>
      <c r="B21" s="31"/>
      <c r="C21" s="70" t="str">
        <f ca="1">IF($A21 &lt; C$14, $B$4*OFFSET(C21,0,-1),IF($A21=C$14,$B$3*OFFSET(C21,1,-1),""))</f>
        <v/>
      </c>
      <c r="D21" s="70" t="str">
        <f ca="1">IF($A21 &lt; D$14, $B$4*OFFSET(D21,0,-1),IF($A21=D$14,$B$3*OFFSET(D21,1,-1),""))</f>
        <v/>
      </c>
      <c r="E21" s="70" t="str">
        <f ca="1">IF($A21 &lt; E$14, $B$4*OFFSET(E21,0,-1),IF($A21=E$14,$B$3*OFFSET(E21,1,-1),""))</f>
        <v/>
      </c>
      <c r="F21" s="70">
        <f ca="1">IF($A21 &lt; F$14, $B$4*OFFSET(F21,0,-1),IF($A21=F$14,$B$3*OFFSET(F21,1,-1),""))</f>
        <v>7.320500000000002E-2</v>
      </c>
      <c r="G21" s="70">
        <f ca="1">IF($A21 &lt; G$14, $B$4*OFFSET(G21,0,-1),IF($A21=G$14,$B$3*OFFSET(G21,1,-1),""))</f>
        <v>6.5884500000000026E-2</v>
      </c>
      <c r="H21" s="70">
        <f ca="1">IF($A21 &lt; H$14, $B$4*OFFSET(H21,0,-1),IF($A21=H$14,$B$3*OFFSET(H21,1,-1),""))</f>
        <v>5.9296050000000024E-2</v>
      </c>
      <c r="I21" s="70">
        <f ca="1">IF($A21 &lt; I$14, $B$4*OFFSET(I21,0,-1),IF($A21=I$14,$B$3*OFFSET(I21,1,-1),""))</f>
        <v>5.3366445000000019E-2</v>
      </c>
      <c r="J21" s="70">
        <f ca="1">IF($A21 &lt; J$14, $B$4*OFFSET(J21,0,-1),IF($A21=J$14,$B$3*OFFSET(J21,1,-1),""))</f>
        <v>4.8029800500000018E-2</v>
      </c>
      <c r="K21" s="70">
        <f ca="1">IF($A21 &lt; K$14, $B$4*OFFSET(K21,0,-1),IF($A21=K$14,$B$3*OFFSET(K21,1,-1),""))</f>
        <v>4.3226820450000016E-2</v>
      </c>
      <c r="L21" s="70">
        <f ca="1">IF($A21 &lt; L$14, $B$4*OFFSET(L21,0,-1),IF($A21=L$14,$B$3*OFFSET(L21,1,-1),""))</f>
        <v>3.8904138405000017E-2</v>
      </c>
    </row>
    <row r="22" spans="1:12" x14ac:dyDescent="0.2">
      <c r="A22" s="29">
        <v>3</v>
      </c>
      <c r="B22" s="31"/>
      <c r="C22" s="70" t="str">
        <f ca="1">IF($A22 &lt; C$14, $B$4*OFFSET(C22,0,-1),IF($A22=C$14,$B$3*OFFSET(C22,1,-1),""))</f>
        <v/>
      </c>
      <c r="D22" s="70" t="str">
        <f ca="1">IF($A22 &lt; D$14, $B$4*OFFSET(D22,0,-1),IF($A22=D$14,$B$3*OFFSET(D22,1,-1),""))</f>
        <v/>
      </c>
      <c r="E22" s="70">
        <f ca="1">IF($A22 &lt; E$14, $B$4*OFFSET(E22,0,-1),IF($A22=E$14,$B$3*OFFSET(E22,1,-1),""))</f>
        <v>6.6550000000000012E-2</v>
      </c>
      <c r="F22" s="70">
        <f ca="1">IF($A22 &lt; F$14, $B$4*OFFSET(F22,0,-1),IF($A22=F$14,$B$3*OFFSET(F22,1,-1),""))</f>
        <v>5.9895000000000011E-2</v>
      </c>
      <c r="G22" s="70">
        <f ca="1">IF($A22 &lt; G$14, $B$4*OFFSET(G22,0,-1),IF($A22=G$14,$B$3*OFFSET(G22,1,-1),""))</f>
        <v>5.3905500000000009E-2</v>
      </c>
      <c r="H22" s="70">
        <f ca="1">IF($A22 &lt; H$14, $B$4*OFFSET(H22,0,-1),IF($A22=H$14,$B$3*OFFSET(H22,1,-1),""))</f>
        <v>4.8514950000000008E-2</v>
      </c>
      <c r="I22" s="70">
        <f ca="1">IF($A22 &lt; I$14, $B$4*OFFSET(I22,0,-1),IF($A22=I$14,$B$3*OFFSET(I22,1,-1),""))</f>
        <v>4.3663455000000011E-2</v>
      </c>
      <c r="J22" s="70">
        <f ca="1">IF($A22 &lt; J$14, $B$4*OFFSET(J22,0,-1),IF($A22=J$14,$B$3*OFFSET(J22,1,-1),""))</f>
        <v>3.929710950000001E-2</v>
      </c>
      <c r="K22" s="70">
        <f ca="1">IF($A22 &lt; K$14, $B$4*OFFSET(K22,0,-1),IF($A22=K$14,$B$3*OFFSET(K22,1,-1),""))</f>
        <v>3.5367398550000012E-2</v>
      </c>
      <c r="L22" s="70">
        <f ca="1">IF($A22 &lt; L$14, $B$4*OFFSET(L22,0,-1),IF($A22=L$14,$B$3*OFFSET(L22,1,-1),""))</f>
        <v>3.1830658695000014E-2</v>
      </c>
    </row>
    <row r="23" spans="1:12" x14ac:dyDescent="0.2">
      <c r="A23" s="29">
        <v>2</v>
      </c>
      <c r="B23" s="31"/>
      <c r="C23" s="70" t="str">
        <f ca="1">IF($A23 &lt; C$14, $B$4*OFFSET(C23,0,-1),IF($A23=C$14,$B$3*OFFSET(C23,1,-1),""))</f>
        <v/>
      </c>
      <c r="D23" s="70">
        <f ca="1">IF($A23 &lt; D$14, $B$4*OFFSET(D23,0,-1),IF($A23=D$14,$B$3*OFFSET(D23,1,-1),""))</f>
        <v>6.0500000000000012E-2</v>
      </c>
      <c r="E23" s="70">
        <f ca="1">IF($A23 &lt; E$14, $B$4*OFFSET(E23,0,-1),IF($A23=E$14,$B$3*OFFSET(E23,1,-1),""))</f>
        <v>5.4450000000000012E-2</v>
      </c>
      <c r="F23" s="70">
        <f ca="1">IF($A23 &lt; F$14, $B$4*OFFSET(F23,0,-1),IF($A23=F$14,$B$3*OFFSET(F23,1,-1),""))</f>
        <v>4.9005000000000014E-2</v>
      </c>
      <c r="G23" s="70">
        <f ca="1">IF($A23 &lt; G$14, $B$4*OFFSET(G23,0,-1),IF($A23=G$14,$B$3*OFFSET(G23,1,-1),""))</f>
        <v>4.4104500000000012E-2</v>
      </c>
      <c r="H23" s="70">
        <f ca="1">IF($A23 &lt; H$14, $B$4*OFFSET(H23,0,-1),IF($A23=H$14,$B$3*OFFSET(H23,1,-1),""))</f>
        <v>3.9694050000000008E-2</v>
      </c>
      <c r="I23" s="70">
        <f ca="1">IF($A23 &lt; I$14, $B$4*OFFSET(I23,0,-1),IF($A23=I$14,$B$3*OFFSET(I23,1,-1),""))</f>
        <v>3.5724645000000006E-2</v>
      </c>
      <c r="J23" s="70">
        <f ca="1">IF($A23 &lt; J$14, $B$4*OFFSET(J23,0,-1),IF($A23=J$14,$B$3*OFFSET(J23,1,-1),""))</f>
        <v>3.2152180500000009E-2</v>
      </c>
      <c r="K23" s="70">
        <f ca="1">IF($A23 &lt; K$14, $B$4*OFFSET(K23,0,-1),IF($A23=K$14,$B$3*OFFSET(K23,1,-1),""))</f>
        <v>2.893696245000001E-2</v>
      </c>
      <c r="L23" s="70">
        <f ca="1">IF($A23 &lt; L$14, $B$4*OFFSET(L23,0,-1),IF($A23=L$14,$B$3*OFFSET(L23,1,-1),""))</f>
        <v>2.6043266205000009E-2</v>
      </c>
    </row>
    <row r="24" spans="1:12" x14ac:dyDescent="0.2">
      <c r="A24" s="29">
        <v>1</v>
      </c>
      <c r="B24" s="31"/>
      <c r="C24" s="70">
        <f ca="1">IF($A24 &lt; C$14, $B$4*OFFSET(C24,0,-1),IF($A24=C$14,$B$3*OFFSET(C24,1,-1),""))</f>
        <v>5.5000000000000007E-2</v>
      </c>
      <c r="D24" s="70">
        <f ca="1">IF($A24 &lt; D$14, $B$4*OFFSET(D24,0,-1),IF($A24=D$14,$B$3*OFFSET(D24,1,-1),""))</f>
        <v>4.9500000000000009E-2</v>
      </c>
      <c r="E24" s="70">
        <f ca="1">IF($A24 &lt; E$14, $B$4*OFFSET(E24,0,-1),IF($A24=E$14,$B$3*OFFSET(E24,1,-1),""))</f>
        <v>4.4550000000000006E-2</v>
      </c>
      <c r="F24" s="70">
        <f ca="1">IF($A24 &lt; F$14, $B$4*OFFSET(F24,0,-1),IF($A24=F$14,$B$3*OFFSET(F24,1,-1),""))</f>
        <v>4.0095000000000006E-2</v>
      </c>
      <c r="G24" s="70">
        <f ca="1">IF($A24 &lt; G$14, $B$4*OFFSET(G24,0,-1),IF($A24=G$14,$B$3*OFFSET(G24,1,-1),""))</f>
        <v>3.6085500000000006E-2</v>
      </c>
      <c r="H24" s="70">
        <f ca="1">IF($A24 &lt; H$14, $B$4*OFFSET(H24,0,-1),IF($A24=H$14,$B$3*OFFSET(H24,1,-1),""))</f>
        <v>3.2476950000000004E-2</v>
      </c>
      <c r="I24" s="70">
        <f ca="1">IF($A24 &lt; I$14, $B$4*OFFSET(I24,0,-1),IF($A24=I$14,$B$3*OFFSET(I24,1,-1),""))</f>
        <v>2.9229255000000006E-2</v>
      </c>
      <c r="J24" s="70">
        <f ca="1">IF($A24 &lt; J$14, $B$4*OFFSET(J24,0,-1),IF($A24=J$14,$B$3*OFFSET(J24,1,-1),""))</f>
        <v>2.6306329500000006E-2</v>
      </c>
      <c r="K24" s="70">
        <f ca="1">IF($A24 &lt; K$14, $B$4*OFFSET(K24,0,-1),IF($A24=K$14,$B$3*OFFSET(K24,1,-1),""))</f>
        <v>2.3675696550000007E-2</v>
      </c>
      <c r="L24" s="70">
        <f ca="1">IF($A24 &lt; L$14, $B$4*OFFSET(L24,0,-1),IF($A24=L$14,$B$3*OFFSET(L24,1,-1),""))</f>
        <v>2.1308126895000008E-2</v>
      </c>
    </row>
    <row r="25" spans="1:12" x14ac:dyDescent="0.2">
      <c r="A25" s="29">
        <v>0</v>
      </c>
      <c r="B25" s="31">
        <f>$B$2</f>
        <v>0.05</v>
      </c>
      <c r="C25" s="70">
        <f ca="1">IF($A25 &lt; C$14, $B$4*OFFSET(C25,0,-1),IF($A25=C$14,$B$3*OFFSET(C25,1,-1),""))</f>
        <v>4.5000000000000005E-2</v>
      </c>
      <c r="D25" s="70">
        <f ca="1">IF($A25 &lt; D$14, $B$4*OFFSET(D25,0,-1),IF($A25=D$14,$B$3*OFFSET(D25,1,-1),""))</f>
        <v>4.0500000000000008E-2</v>
      </c>
      <c r="E25" s="70">
        <f ca="1">IF($A25 &lt; E$14, $B$4*OFFSET(E25,0,-1),IF($A25=E$14,$B$3*OFFSET(E25,1,-1),""))</f>
        <v>3.645000000000001E-2</v>
      </c>
      <c r="F25" s="70">
        <f ca="1">IF($A25 &lt; F$14, $B$4*OFFSET(F25,0,-1),IF($A25=F$14,$B$3*OFFSET(F25,1,-1),""))</f>
        <v>3.2805000000000008E-2</v>
      </c>
      <c r="G25" s="70">
        <f ca="1">IF($A25 &lt; G$14, $B$4*OFFSET(G25,0,-1),IF($A25=G$14,$B$3*OFFSET(G25,1,-1),""))</f>
        <v>2.9524500000000009E-2</v>
      </c>
      <c r="H25" s="70">
        <f ca="1">IF($A25 &lt; H$14, $B$4*OFFSET(H25,0,-1),IF($A25=H$14,$B$3*OFFSET(H25,1,-1),""))</f>
        <v>2.657205000000001E-2</v>
      </c>
      <c r="I25" s="70">
        <f ca="1">IF($A25 &lt; I$14, $B$4*OFFSET(I25,0,-1),IF($A25=I$14,$B$3*OFFSET(I25,1,-1),""))</f>
        <v>2.3914845000000011E-2</v>
      </c>
      <c r="J25" s="70">
        <f ca="1">IF($A25 &lt; J$14, $B$4*OFFSET(J25,0,-1),IF($A25=J$14,$B$3*OFFSET(J25,1,-1),""))</f>
        <v>2.1523360500000012E-2</v>
      </c>
      <c r="K25" s="70">
        <f ca="1">IF($A25 &lt; K$14, $B$4*OFFSET(K25,0,-1),IF($A25=K$14,$B$3*OFFSET(K25,1,-1),""))</f>
        <v>1.937102445000001E-2</v>
      </c>
      <c r="L25" s="70">
        <f ca="1">IF($A25 &lt; L$14, $B$4*OFFSET(L25,0,-1),IF($A25=L$14,$B$3*OFFSET(L25,1,-1),""))</f>
        <v>1.7433922005000008E-2</v>
      </c>
    </row>
    <row r="26" spans="1:12" ht="13.5" thickBot="1" x14ac:dyDescent="0.25"/>
    <row r="27" spans="1:12" ht="13.5" thickBot="1" x14ac:dyDescent="0.25">
      <c r="A27" s="48" t="s">
        <v>31</v>
      </c>
      <c r="B27" s="49"/>
    </row>
    <row r="28" spans="1:12" x14ac:dyDescent="0.2">
      <c r="A28" s="69"/>
      <c r="B28" s="29">
        <v>0</v>
      </c>
      <c r="C28" s="29">
        <v>1</v>
      </c>
      <c r="D28" s="29">
        <v>2</v>
      </c>
      <c r="E28" s="29">
        <v>3</v>
      </c>
      <c r="F28" s="29">
        <v>4</v>
      </c>
      <c r="G28" s="29">
        <v>5</v>
      </c>
      <c r="H28" s="29">
        <v>6</v>
      </c>
      <c r="I28" s="29">
        <v>7</v>
      </c>
      <c r="J28" s="29">
        <v>8</v>
      </c>
      <c r="K28" s="29">
        <v>9</v>
      </c>
      <c r="L28" s="29">
        <v>10</v>
      </c>
    </row>
    <row r="29" spans="1:12" x14ac:dyDescent="0.2">
      <c r="A29" s="29">
        <v>10</v>
      </c>
      <c r="B29" s="70" t="str">
        <f t="shared" ref="B29:K39" si="0">IF($A29&lt;=B$28,$B$8*$B$9^($A29-B$28/2),"")</f>
        <v/>
      </c>
      <c r="C29" s="70" t="str">
        <f t="shared" si="0"/>
        <v/>
      </c>
      <c r="D29" s="70" t="str">
        <f t="shared" si="0"/>
        <v/>
      </c>
      <c r="E29" s="70" t="str">
        <f t="shared" si="0"/>
        <v/>
      </c>
      <c r="F29" s="70" t="str">
        <f t="shared" si="0"/>
        <v/>
      </c>
      <c r="G29" s="70" t="str">
        <f t="shared" si="0"/>
        <v/>
      </c>
      <c r="H29" s="70" t="str">
        <f t="shared" si="0"/>
        <v/>
      </c>
      <c r="I29" s="70" t="str">
        <f t="shared" si="0"/>
        <v/>
      </c>
      <c r="J29" s="70" t="str">
        <f t="shared" si="0"/>
        <v/>
      </c>
      <c r="K29" s="70" t="str">
        <f t="shared" si="0"/>
        <v/>
      </c>
      <c r="L29" s="70">
        <f>IF($A29&lt;=L$28,$B$8*$B$9^($A29-L$28/2),"")</f>
        <v>1.0510100501E-2</v>
      </c>
    </row>
    <row r="30" spans="1:12" x14ac:dyDescent="0.2">
      <c r="A30" s="29">
        <v>9</v>
      </c>
      <c r="B30" s="70" t="str">
        <f t="shared" si="0"/>
        <v/>
      </c>
      <c r="C30" s="70" t="str">
        <f t="shared" si="0"/>
        <v/>
      </c>
      <c r="D30" s="70" t="str">
        <f t="shared" si="0"/>
        <v/>
      </c>
      <c r="E30" s="70" t="str">
        <f t="shared" si="0"/>
        <v/>
      </c>
      <c r="F30" s="70" t="str">
        <f t="shared" si="0"/>
        <v/>
      </c>
      <c r="G30" s="70" t="str">
        <f t="shared" si="0"/>
        <v/>
      </c>
      <c r="H30" s="70" t="str">
        <f t="shared" si="0"/>
        <v/>
      </c>
      <c r="I30" s="70" t="str">
        <f t="shared" si="0"/>
        <v/>
      </c>
      <c r="J30" s="70" t="str">
        <f t="shared" si="0"/>
        <v/>
      </c>
      <c r="K30" s="70">
        <f t="shared" si="0"/>
        <v>1.045794087133964E-2</v>
      </c>
      <c r="L30" s="70">
        <f t="shared" ref="L30:L39" si="1">IF($A30&lt;=L$28,$B$8*$B$9^($A30-L$28/2),"")</f>
        <v>1.04060401E-2</v>
      </c>
    </row>
    <row r="31" spans="1:12" x14ac:dyDescent="0.2">
      <c r="A31" s="29">
        <v>8</v>
      </c>
      <c r="B31" s="70" t="str">
        <f t="shared" si="0"/>
        <v/>
      </c>
      <c r="C31" s="70" t="str">
        <f t="shared" si="0"/>
        <v/>
      </c>
      <c r="D31" s="70" t="str">
        <f t="shared" si="0"/>
        <v/>
      </c>
      <c r="E31" s="70" t="str">
        <f t="shared" si="0"/>
        <v/>
      </c>
      <c r="F31" s="70" t="str">
        <f t="shared" si="0"/>
        <v/>
      </c>
      <c r="G31" s="70" t="str">
        <f t="shared" si="0"/>
        <v/>
      </c>
      <c r="H31" s="70" t="str">
        <f t="shared" si="0"/>
        <v/>
      </c>
      <c r="I31" s="70" t="str">
        <f t="shared" si="0"/>
        <v/>
      </c>
      <c r="J31" s="70">
        <f t="shared" si="0"/>
        <v>1.04060401E-2</v>
      </c>
      <c r="K31" s="70">
        <f t="shared" si="0"/>
        <v>1.0354396902316473E-2</v>
      </c>
      <c r="L31" s="70">
        <f t="shared" si="1"/>
        <v>1.030301E-2</v>
      </c>
    </row>
    <row r="32" spans="1:12" x14ac:dyDescent="0.2">
      <c r="A32" s="29">
        <v>7</v>
      </c>
      <c r="B32" s="70" t="str">
        <f t="shared" si="0"/>
        <v/>
      </c>
      <c r="C32" s="70" t="str">
        <f t="shared" si="0"/>
        <v/>
      </c>
      <c r="D32" s="70" t="str">
        <f t="shared" si="0"/>
        <v/>
      </c>
      <c r="E32" s="70" t="str">
        <f t="shared" si="0"/>
        <v/>
      </c>
      <c r="F32" s="70" t="str">
        <f t="shared" si="0"/>
        <v/>
      </c>
      <c r="G32" s="70" t="str">
        <f t="shared" si="0"/>
        <v/>
      </c>
      <c r="H32" s="70" t="str">
        <f t="shared" si="0"/>
        <v/>
      </c>
      <c r="I32" s="70">
        <f t="shared" si="0"/>
        <v>1.0354396902316473E-2</v>
      </c>
      <c r="J32" s="70">
        <f t="shared" si="0"/>
        <v>1.030301E-2</v>
      </c>
      <c r="K32" s="70">
        <f t="shared" si="0"/>
        <v>1.025187812110542E-2</v>
      </c>
      <c r="L32" s="70">
        <f t="shared" si="1"/>
        <v>1.0201E-2</v>
      </c>
    </row>
    <row r="33" spans="1:12" x14ac:dyDescent="0.2">
      <c r="A33" s="29">
        <v>6</v>
      </c>
      <c r="B33" s="70" t="str">
        <f t="shared" si="0"/>
        <v/>
      </c>
      <c r="C33" s="70" t="str">
        <f t="shared" si="0"/>
        <v/>
      </c>
      <c r="D33" s="70" t="str">
        <f t="shared" si="0"/>
        <v/>
      </c>
      <c r="E33" s="70" t="str">
        <f t="shared" si="0"/>
        <v/>
      </c>
      <c r="F33" s="70" t="str">
        <f t="shared" si="0"/>
        <v/>
      </c>
      <c r="G33" s="70" t="str">
        <f t="shared" si="0"/>
        <v/>
      </c>
      <c r="H33" s="70">
        <f t="shared" si="0"/>
        <v>1.030301E-2</v>
      </c>
      <c r="I33" s="70">
        <f t="shared" si="0"/>
        <v>1.025187812110542E-2</v>
      </c>
      <c r="J33" s="70">
        <f t="shared" si="0"/>
        <v>1.0201E-2</v>
      </c>
      <c r="K33" s="70">
        <f t="shared" si="0"/>
        <v>1.0150374377332098E-2</v>
      </c>
      <c r="L33" s="70">
        <f t="shared" si="1"/>
        <v>1.01E-2</v>
      </c>
    </row>
    <row r="34" spans="1:12" x14ac:dyDescent="0.2">
      <c r="A34" s="29">
        <v>5</v>
      </c>
      <c r="B34" s="70" t="str">
        <f t="shared" si="0"/>
        <v/>
      </c>
      <c r="C34" s="70" t="str">
        <f t="shared" si="0"/>
        <v/>
      </c>
      <c r="D34" s="70" t="str">
        <f t="shared" si="0"/>
        <v/>
      </c>
      <c r="E34" s="70" t="str">
        <f t="shared" si="0"/>
        <v/>
      </c>
      <c r="F34" s="70" t="str">
        <f t="shared" si="0"/>
        <v/>
      </c>
      <c r="G34" s="70">
        <f t="shared" si="0"/>
        <v>1.025187812110542E-2</v>
      </c>
      <c r="H34" s="70">
        <f t="shared" si="0"/>
        <v>1.0201E-2</v>
      </c>
      <c r="I34" s="70">
        <f t="shared" si="0"/>
        <v>1.0150374377332098E-2</v>
      </c>
      <c r="J34" s="70">
        <f t="shared" si="0"/>
        <v>1.01E-2</v>
      </c>
      <c r="K34" s="70">
        <f t="shared" si="0"/>
        <v>1.0049875621120889E-2</v>
      </c>
      <c r="L34" s="70">
        <f t="shared" si="1"/>
        <v>0.01</v>
      </c>
    </row>
    <row r="35" spans="1:12" x14ac:dyDescent="0.2">
      <c r="A35" s="29">
        <v>4</v>
      </c>
      <c r="B35" s="70" t="str">
        <f t="shared" si="0"/>
        <v/>
      </c>
      <c r="C35" s="70" t="str">
        <f t="shared" si="0"/>
        <v/>
      </c>
      <c r="D35" s="70" t="str">
        <f t="shared" si="0"/>
        <v/>
      </c>
      <c r="E35" s="70" t="str">
        <f t="shared" si="0"/>
        <v/>
      </c>
      <c r="F35" s="70">
        <f t="shared" si="0"/>
        <v>1.0201E-2</v>
      </c>
      <c r="G35" s="70">
        <f t="shared" si="0"/>
        <v>1.0150374377332098E-2</v>
      </c>
      <c r="H35" s="70">
        <f t="shared" si="0"/>
        <v>1.01E-2</v>
      </c>
      <c r="I35" s="70">
        <f t="shared" si="0"/>
        <v>1.0049875621120889E-2</v>
      </c>
      <c r="J35" s="70">
        <f t="shared" si="0"/>
        <v>0.01</v>
      </c>
      <c r="K35" s="70">
        <f t="shared" si="0"/>
        <v>9.9503719020998926E-3</v>
      </c>
      <c r="L35" s="70">
        <f t="shared" si="1"/>
        <v>9.9009900990099011E-3</v>
      </c>
    </row>
    <row r="36" spans="1:12" x14ac:dyDescent="0.2">
      <c r="A36" s="29">
        <v>3</v>
      </c>
      <c r="B36" s="70" t="str">
        <f t="shared" si="0"/>
        <v/>
      </c>
      <c r="C36" s="70" t="str">
        <f t="shared" si="0"/>
        <v/>
      </c>
      <c r="D36" s="70" t="str">
        <f t="shared" si="0"/>
        <v/>
      </c>
      <c r="E36" s="70">
        <f t="shared" si="0"/>
        <v>1.0150374377332098E-2</v>
      </c>
      <c r="F36" s="70">
        <f t="shared" si="0"/>
        <v>1.01E-2</v>
      </c>
      <c r="G36" s="70">
        <f t="shared" si="0"/>
        <v>1.0049875621120889E-2</v>
      </c>
      <c r="H36" s="70">
        <f t="shared" si="0"/>
        <v>0.01</v>
      </c>
      <c r="I36" s="70">
        <f t="shared" si="0"/>
        <v>9.9503719020998926E-3</v>
      </c>
      <c r="J36" s="70">
        <f t="shared" si="0"/>
        <v>9.9009900990099011E-3</v>
      </c>
      <c r="K36" s="70">
        <f t="shared" si="0"/>
        <v>9.8518533684157344E-3</v>
      </c>
      <c r="L36" s="70">
        <f t="shared" si="1"/>
        <v>9.8029604940692086E-3</v>
      </c>
    </row>
    <row r="37" spans="1:12" x14ac:dyDescent="0.2">
      <c r="A37" s="29">
        <v>2</v>
      </c>
      <c r="B37" s="70" t="str">
        <f t="shared" si="0"/>
        <v/>
      </c>
      <c r="C37" s="70" t="str">
        <f t="shared" si="0"/>
        <v/>
      </c>
      <c r="D37" s="70">
        <f t="shared" si="0"/>
        <v>1.01E-2</v>
      </c>
      <c r="E37" s="70">
        <f t="shared" si="0"/>
        <v>1.0049875621120889E-2</v>
      </c>
      <c r="F37" s="70">
        <f t="shared" si="0"/>
        <v>0.01</v>
      </c>
      <c r="G37" s="70">
        <f t="shared" si="0"/>
        <v>9.9503719020998926E-3</v>
      </c>
      <c r="H37" s="70">
        <f t="shared" si="0"/>
        <v>9.9009900990099011E-3</v>
      </c>
      <c r="I37" s="70">
        <f t="shared" si="0"/>
        <v>9.8518533684157344E-3</v>
      </c>
      <c r="J37" s="70">
        <f t="shared" si="0"/>
        <v>9.8029604940692086E-3</v>
      </c>
      <c r="K37" s="70">
        <f t="shared" si="0"/>
        <v>9.754310265758152E-3</v>
      </c>
      <c r="L37" s="70">
        <f t="shared" si="1"/>
        <v>9.7059014792764461E-3</v>
      </c>
    </row>
    <row r="38" spans="1:12" x14ac:dyDescent="0.2">
      <c r="A38" s="29">
        <v>1</v>
      </c>
      <c r="B38" s="70" t="str">
        <f t="shared" si="0"/>
        <v/>
      </c>
      <c r="C38" s="70">
        <f t="shared" si="0"/>
        <v>1.0049875621120889E-2</v>
      </c>
      <c r="D38" s="70">
        <f t="shared" si="0"/>
        <v>0.01</v>
      </c>
      <c r="E38" s="70">
        <f t="shared" si="0"/>
        <v>9.9503719020998926E-3</v>
      </c>
      <c r="F38" s="70">
        <f t="shared" si="0"/>
        <v>9.9009900990099011E-3</v>
      </c>
      <c r="G38" s="70">
        <f t="shared" si="0"/>
        <v>9.8518533684157344E-3</v>
      </c>
      <c r="H38" s="70">
        <f t="shared" si="0"/>
        <v>9.8029604940692086E-3</v>
      </c>
      <c r="I38" s="70">
        <f t="shared" si="0"/>
        <v>9.754310265758152E-3</v>
      </c>
      <c r="J38" s="70">
        <f t="shared" si="0"/>
        <v>9.7059014792764461E-3</v>
      </c>
      <c r="K38" s="70">
        <f t="shared" si="0"/>
        <v>9.6577329363942109E-3</v>
      </c>
      <c r="L38" s="70">
        <f t="shared" si="1"/>
        <v>9.6098034448281622E-3</v>
      </c>
    </row>
    <row r="39" spans="1:12" x14ac:dyDescent="0.2">
      <c r="A39" s="29">
        <v>0</v>
      </c>
      <c r="B39" s="70">
        <f t="shared" si="0"/>
        <v>0.01</v>
      </c>
      <c r="C39" s="70">
        <f t="shared" si="0"/>
        <v>9.9503719020998926E-3</v>
      </c>
      <c r="D39" s="70">
        <f t="shared" si="0"/>
        <v>9.9009900990099011E-3</v>
      </c>
      <c r="E39" s="70">
        <f t="shared" si="0"/>
        <v>9.8518533684157344E-3</v>
      </c>
      <c r="F39" s="70">
        <f t="shared" si="0"/>
        <v>9.8029604940692086E-3</v>
      </c>
      <c r="G39" s="70">
        <f t="shared" si="0"/>
        <v>9.754310265758152E-3</v>
      </c>
      <c r="H39" s="70">
        <f t="shared" si="0"/>
        <v>9.7059014792764461E-3</v>
      </c>
      <c r="I39" s="70">
        <f t="shared" si="0"/>
        <v>9.6577329363942109E-3</v>
      </c>
      <c r="J39" s="70">
        <f t="shared" si="0"/>
        <v>9.6098034448281622E-3</v>
      </c>
      <c r="K39" s="70">
        <f t="shared" si="0"/>
        <v>9.56211181821209E-3</v>
      </c>
      <c r="L39" s="70">
        <f t="shared" si="1"/>
        <v>9.5146568760674892E-3</v>
      </c>
    </row>
    <row r="40" spans="1:12" ht="13.5" thickBot="1" x14ac:dyDescent="0.25"/>
    <row r="41" spans="1:12" ht="13.5" thickBot="1" x14ac:dyDescent="0.25">
      <c r="A41" s="48" t="s">
        <v>35</v>
      </c>
      <c r="B41" s="49"/>
    </row>
    <row r="42" spans="1:12" x14ac:dyDescent="0.2">
      <c r="A42" s="69"/>
      <c r="B42" s="29">
        <v>0</v>
      </c>
      <c r="C42" s="29">
        <v>1</v>
      </c>
      <c r="D42" s="29">
        <v>2</v>
      </c>
      <c r="E42" s="29">
        <v>3</v>
      </c>
      <c r="F42" s="29">
        <v>4</v>
      </c>
      <c r="G42" s="29">
        <v>5</v>
      </c>
      <c r="H42" s="29">
        <v>6</v>
      </c>
      <c r="I42" s="29">
        <v>7</v>
      </c>
      <c r="J42" s="29">
        <v>8</v>
      </c>
      <c r="K42" s="29">
        <v>9</v>
      </c>
      <c r="L42" s="29">
        <v>10</v>
      </c>
    </row>
    <row r="43" spans="1:12" x14ac:dyDescent="0.2">
      <c r="A43" s="29">
        <v>10</v>
      </c>
      <c r="B43" s="70" t="str">
        <f t="shared" ref="B43:L53" si="2">IF($A43&lt;=B$28,$B$8*EXP($B$9-$A43/2),"")</f>
        <v/>
      </c>
      <c r="C43" s="70" t="str">
        <f t="shared" si="2"/>
        <v/>
      </c>
      <c r="D43" s="70" t="str">
        <f t="shared" si="2"/>
        <v/>
      </c>
      <c r="E43" s="70" t="str">
        <f t="shared" si="2"/>
        <v/>
      </c>
      <c r="F43" s="70" t="str">
        <f t="shared" si="2"/>
        <v/>
      </c>
      <c r="G43" s="70" t="str">
        <f t="shared" si="2"/>
        <v/>
      </c>
      <c r="H43" s="70" t="str">
        <f t="shared" si="2"/>
        <v/>
      </c>
      <c r="I43" s="70" t="str">
        <f t="shared" si="2"/>
        <v/>
      </c>
      <c r="J43" s="70" t="str">
        <f t="shared" si="2"/>
        <v/>
      </c>
      <c r="K43" s="70" t="str">
        <f t="shared" si="2"/>
        <v/>
      </c>
      <c r="L43" s="71">
        <v>100</v>
      </c>
    </row>
    <row r="44" spans="1:12" x14ac:dyDescent="0.2">
      <c r="A44" s="29">
        <v>9</v>
      </c>
      <c r="B44" s="72" t="str">
        <f t="shared" ref="B44:J53" si="3">IF($A44&lt;=B$28,1/(1+B16)*((1-B30)*($B$5*C43 +$B$6*C44) + B30*B$55),"")</f>
        <v/>
      </c>
      <c r="C44" s="72" t="str">
        <f t="shared" si="3"/>
        <v/>
      </c>
      <c r="D44" s="72" t="str">
        <f t="shared" si="3"/>
        <v/>
      </c>
      <c r="E44" s="72" t="str">
        <f t="shared" si="3"/>
        <v/>
      </c>
      <c r="F44" s="72" t="str">
        <f t="shared" si="3"/>
        <v/>
      </c>
      <c r="G44" s="72" t="str">
        <f t="shared" si="3"/>
        <v/>
      </c>
      <c r="H44" s="72" t="str">
        <f t="shared" si="3"/>
        <v/>
      </c>
      <c r="I44" s="72" t="str">
        <f t="shared" si="3"/>
        <v/>
      </c>
      <c r="J44" s="72" t="str">
        <f t="shared" si="3"/>
        <v/>
      </c>
      <c r="K44" s="72">
        <f ca="1">IF($A44&lt;=K$28,1/(1+K16)*((1-K30)*($B$5*L43 +$B$6*L44) + K30*K$55),"")</f>
        <v>88.705247995736386</v>
      </c>
      <c r="L44" s="71">
        <v>100</v>
      </c>
    </row>
    <row r="45" spans="1:12" x14ac:dyDescent="0.2">
      <c r="A45" s="29">
        <v>8</v>
      </c>
      <c r="B45" s="72" t="str">
        <f t="shared" si="3"/>
        <v/>
      </c>
      <c r="C45" s="72" t="str">
        <f t="shared" si="3"/>
        <v/>
      </c>
      <c r="D45" s="72" t="str">
        <f t="shared" si="3"/>
        <v/>
      </c>
      <c r="E45" s="72" t="str">
        <f t="shared" si="3"/>
        <v/>
      </c>
      <c r="F45" s="72" t="str">
        <f t="shared" si="3"/>
        <v/>
      </c>
      <c r="G45" s="72" t="str">
        <f t="shared" si="3"/>
        <v/>
      </c>
      <c r="H45" s="72" t="str">
        <f t="shared" si="3"/>
        <v/>
      </c>
      <c r="I45" s="72" t="str">
        <f t="shared" si="3"/>
        <v/>
      </c>
      <c r="J45" s="72">
        <f t="shared" ca="1" si="3"/>
        <v>80.250866915227761</v>
      </c>
      <c r="K45" s="72">
        <f t="shared" ref="K45:K53" ca="1" si="4">IF($A45&lt;=K$28,1/(1+K17)*((1-K31)*($B$5*L44 +$B$6*L45) + K31*K$55),"")</f>
        <v>90.446995693785425</v>
      </c>
      <c r="L45" s="71">
        <v>100</v>
      </c>
    </row>
    <row r="46" spans="1:12" x14ac:dyDescent="0.2">
      <c r="A46" s="29">
        <v>7</v>
      </c>
      <c r="B46" s="72" t="str">
        <f t="shared" si="3"/>
        <v/>
      </c>
      <c r="C46" s="72" t="str">
        <f t="shared" si="3"/>
        <v/>
      </c>
      <c r="D46" s="72" t="str">
        <f t="shared" si="3"/>
        <v/>
      </c>
      <c r="E46" s="72" t="str">
        <f t="shared" si="3"/>
        <v/>
      </c>
      <c r="F46" s="72" t="str">
        <f t="shared" si="3"/>
        <v/>
      </c>
      <c r="G46" s="72" t="str">
        <f t="shared" si="3"/>
        <v/>
      </c>
      <c r="H46" s="72" t="str">
        <f t="shared" si="3"/>
        <v/>
      </c>
      <c r="I46" s="72">
        <f t="shared" ca="1" si="3"/>
        <v>73.869023719304195</v>
      </c>
      <c r="J46" s="72">
        <f t="shared" ca="1" si="3"/>
        <v>83.160008679562878</v>
      </c>
      <c r="K46" s="72">
        <f t="shared" ca="1" si="4"/>
        <v>91.924860104853408</v>
      </c>
      <c r="L46" s="71">
        <v>100</v>
      </c>
    </row>
    <row r="47" spans="1:12" x14ac:dyDescent="0.2">
      <c r="A47" s="29">
        <v>6</v>
      </c>
      <c r="B47" s="72" t="str">
        <f t="shared" si="3"/>
        <v/>
      </c>
      <c r="C47" s="72" t="str">
        <f t="shared" si="3"/>
        <v/>
      </c>
      <c r="D47" s="72" t="str">
        <f t="shared" si="3"/>
        <v/>
      </c>
      <c r="E47" s="72" t="str">
        <f t="shared" si="3"/>
        <v/>
      </c>
      <c r="F47" s="72" t="str">
        <f t="shared" si="3"/>
        <v/>
      </c>
      <c r="G47" s="72" t="str">
        <f t="shared" si="3"/>
        <v/>
      </c>
      <c r="H47" s="72">
        <f t="shared" ca="1" si="3"/>
        <v>69.029468715072937</v>
      </c>
      <c r="I47" s="72">
        <f t="shared" ca="1" si="3"/>
        <v>77.567031969599341</v>
      </c>
      <c r="J47" s="72">
        <f t="shared" ca="1" si="3"/>
        <v>85.662048878105637</v>
      </c>
      <c r="K47" s="72">
        <f t="shared" ca="1" si="4"/>
        <v>93.171565431025556</v>
      </c>
      <c r="L47" s="71">
        <v>100</v>
      </c>
    </row>
    <row r="48" spans="1:12" x14ac:dyDescent="0.2">
      <c r="A48" s="29">
        <v>5</v>
      </c>
      <c r="B48" s="72" t="str">
        <f t="shared" si="3"/>
        <v/>
      </c>
      <c r="C48" s="72" t="str">
        <f t="shared" si="3"/>
        <v/>
      </c>
      <c r="D48" s="72" t="str">
        <f t="shared" si="3"/>
        <v/>
      </c>
      <c r="E48" s="72" t="str">
        <f t="shared" si="3"/>
        <v/>
      </c>
      <c r="F48" s="72" t="str">
        <f t="shared" si="3"/>
        <v/>
      </c>
      <c r="G48" s="72">
        <f t="shared" ca="1" si="3"/>
        <v>65.358295749239744</v>
      </c>
      <c r="H48" s="72">
        <f t="shared" ca="1" si="3"/>
        <v>73.261819491663701</v>
      </c>
      <c r="I48" s="72">
        <f t="shared" ca="1" si="3"/>
        <v>80.782894980401807</v>
      </c>
      <c r="J48" s="72">
        <f t="shared" ca="1" si="3"/>
        <v>87.796631124413949</v>
      </c>
      <c r="K48" s="72">
        <f t="shared" ca="1" si="4"/>
        <v>94.218200442515027</v>
      </c>
      <c r="L48" s="71">
        <v>100</v>
      </c>
    </row>
    <row r="49" spans="1:12" x14ac:dyDescent="0.2">
      <c r="A49" s="29">
        <v>4</v>
      </c>
      <c r="B49" s="72" t="str">
        <f t="shared" si="3"/>
        <v/>
      </c>
      <c r="C49" s="72" t="str">
        <f t="shared" si="3"/>
        <v/>
      </c>
      <c r="D49" s="72" t="str">
        <f t="shared" si="3"/>
        <v/>
      </c>
      <c r="E49" s="72" t="str">
        <f t="shared" si="3"/>
        <v/>
      </c>
      <c r="F49" s="72">
        <f t="shared" ca="1" si="3"/>
        <v>62.586553933725021</v>
      </c>
      <c r="G49" s="72">
        <f t="shared" ca="1" si="3"/>
        <v>69.950353005595048</v>
      </c>
      <c r="H49" s="72">
        <f t="shared" ca="1" si="3"/>
        <v>76.975120798881335</v>
      </c>
      <c r="I49" s="72">
        <f t="shared" ca="1" si="3"/>
        <v>83.551767936110636</v>
      </c>
      <c r="J49" s="72">
        <f t="shared" ca="1" si="3"/>
        <v>89.605500739547395</v>
      </c>
      <c r="K49" s="72">
        <f t="shared" ca="1" si="4"/>
        <v>95.093385544900016</v>
      </c>
      <c r="L49" s="71">
        <v>100</v>
      </c>
    </row>
    <row r="50" spans="1:12" x14ac:dyDescent="0.2">
      <c r="A50" s="29">
        <v>3</v>
      </c>
      <c r="B50" s="72" t="str">
        <f t="shared" si="3"/>
        <v/>
      </c>
      <c r="C50" s="72" t="str">
        <f t="shared" si="3"/>
        <v/>
      </c>
      <c r="D50" s="72" t="str">
        <f t="shared" si="3"/>
        <v/>
      </c>
      <c r="E50" s="72">
        <f t="shared" ca="1" si="3"/>
        <v>60.517073647248765</v>
      </c>
      <c r="F50" s="72">
        <f t="shared" ca="1" si="3"/>
        <v>67.415975229131078</v>
      </c>
      <c r="G50" s="72">
        <f t="shared" ca="1" si="3"/>
        <v>74.007329720902362</v>
      </c>
      <c r="H50" s="72">
        <f t="shared" ca="1" si="3"/>
        <v>80.195897022973398</v>
      </c>
      <c r="I50" s="72">
        <f t="shared" ca="1" si="3"/>
        <v>85.916104704794577</v>
      </c>
      <c r="J50" s="72">
        <f t="shared" ca="1" si="3"/>
        <v>91.129865850497225</v>
      </c>
      <c r="K50" s="72">
        <f t="shared" ca="1" si="4"/>
        <v>95.822846913539919</v>
      </c>
      <c r="L50" s="71">
        <v>100</v>
      </c>
    </row>
    <row r="51" spans="1:12" x14ac:dyDescent="0.2">
      <c r="A51" s="29">
        <v>2</v>
      </c>
      <c r="B51" s="72" t="str">
        <f t="shared" si="3"/>
        <v/>
      </c>
      <c r="C51" s="72" t="str">
        <f t="shared" si="3"/>
        <v/>
      </c>
      <c r="D51" s="72">
        <f t="shared" ca="1" si="3"/>
        <v>59.002642014345369</v>
      </c>
      <c r="E51" s="72">
        <f t="shared" ca="1" si="3"/>
        <v>65.496264783326581</v>
      </c>
      <c r="F51" s="72">
        <f t="shared" ca="1" si="3"/>
        <v>71.705253593506498</v>
      </c>
      <c r="G51" s="72">
        <f t="shared" ca="1" si="3"/>
        <v>77.546548149514379</v>
      </c>
      <c r="H51" s="72">
        <f t="shared" ca="1" si="3"/>
        <v>82.962979364879729</v>
      </c>
      <c r="I51" s="72">
        <f t="shared" ca="1" si="3"/>
        <v>87.921249647400657</v>
      </c>
      <c r="J51" s="72">
        <f t="shared" ca="1" si="3"/>
        <v>92.408664864849058</v>
      </c>
      <c r="K51" s="72">
        <f t="shared" ca="1" si="4"/>
        <v>96.429284591436584</v>
      </c>
      <c r="L51" s="71">
        <v>100</v>
      </c>
    </row>
    <row r="52" spans="1:12" x14ac:dyDescent="0.2">
      <c r="A52" s="29">
        <v>1</v>
      </c>
      <c r="B52" s="72" t="str">
        <f t="shared" si="3"/>
        <v/>
      </c>
      <c r="C52" s="72">
        <f t="shared" ca="1" si="3"/>
        <v>57.931391452359421</v>
      </c>
      <c r="D52" s="72">
        <f t="shared" ca="1" si="3"/>
        <v>64.067437921323048</v>
      </c>
      <c r="E52" s="72">
        <f t="shared" ca="1" si="3"/>
        <v>69.935606122589661</v>
      </c>
      <c r="F52" s="72">
        <f t="shared" ca="1" si="3"/>
        <v>75.463591017392375</v>
      </c>
      <c r="G52" s="72">
        <f t="shared" ca="1" si="3"/>
        <v>80.601845322939781</v>
      </c>
      <c r="H52" s="72">
        <f t="shared" ca="1" si="3"/>
        <v>85.321668600980217</v>
      </c>
      <c r="I52" s="72">
        <f t="shared" ca="1" si="3"/>
        <v>89.612298625024721</v>
      </c>
      <c r="J52" s="72">
        <f t="shared" ca="1" si="3"/>
        <v>93.47755327573573</v>
      </c>
      <c r="K52" s="72">
        <f t="shared" ca="1" si="4"/>
        <v>96.932438368426034</v>
      </c>
      <c r="L52" s="71">
        <v>100</v>
      </c>
    </row>
    <row r="53" spans="1:12" x14ac:dyDescent="0.2">
      <c r="A53" s="29">
        <v>0</v>
      </c>
      <c r="B53" s="72">
        <f t="shared" ca="1" si="3"/>
        <v>57.216858239429008</v>
      </c>
      <c r="C53" s="72">
        <f t="shared" ca="1" si="3"/>
        <v>63.033661378752612</v>
      </c>
      <c r="D53" s="72">
        <f t="shared" ca="1" si="3"/>
        <v>68.594939476713108</v>
      </c>
      <c r="E53" s="72">
        <f t="shared" ca="1" si="3"/>
        <v>73.83792361896073</v>
      </c>
      <c r="F53" s="72">
        <f t="shared" ca="1" si="3"/>
        <v>78.719960458577546</v>
      </c>
      <c r="G53" s="72">
        <f t="shared" ca="1" si="3"/>
        <v>83.21668031516684</v>
      </c>
      <c r="H53" s="72">
        <f t="shared" ca="1" si="3"/>
        <v>87.319375685225552</v>
      </c>
      <c r="I53" s="72">
        <f t="shared" ca="1" si="3"/>
        <v>91.032042497330892</v>
      </c>
      <c r="J53" s="72">
        <f t="shared" ca="1" si="3"/>
        <v>94.368423046682608</v>
      </c>
      <c r="K53" s="72">
        <f t="shared" ca="1" si="4"/>
        <v>97.349275851827485</v>
      </c>
      <c r="L53" s="71">
        <v>100</v>
      </c>
    </row>
    <row r="55" spans="1:12" x14ac:dyDescent="0.2">
      <c r="A55" t="s">
        <v>34</v>
      </c>
      <c r="B55">
        <f t="shared" ref="B55:K55" si="5">$L$43*$B$10</f>
        <v>20</v>
      </c>
      <c r="C55">
        <f t="shared" si="5"/>
        <v>20</v>
      </c>
      <c r="D55">
        <f t="shared" si="5"/>
        <v>20</v>
      </c>
      <c r="E55">
        <f t="shared" si="5"/>
        <v>20</v>
      </c>
      <c r="F55">
        <f t="shared" si="5"/>
        <v>20</v>
      </c>
      <c r="G55">
        <f t="shared" si="5"/>
        <v>20</v>
      </c>
      <c r="H55">
        <f t="shared" si="5"/>
        <v>20</v>
      </c>
      <c r="I55">
        <f t="shared" si="5"/>
        <v>20</v>
      </c>
      <c r="J55">
        <f t="shared" si="5"/>
        <v>20</v>
      </c>
      <c r="K55">
        <f t="shared" si="5"/>
        <v>20</v>
      </c>
      <c r="L55">
        <f>$L$43*$B$10</f>
        <v>20</v>
      </c>
    </row>
  </sheetData>
  <mergeCells count="5">
    <mergeCell ref="A1:B1"/>
    <mergeCell ref="A13:B13"/>
    <mergeCell ref="A7:B7"/>
    <mergeCell ref="A27:B27"/>
    <mergeCell ref="A41:B41"/>
  </mergeCells>
  <pageMargins left="0.7" right="0.7" top="0.75" bottom="0.75" header="0.3" footer="0.3"/>
  <ignoredErrors>
    <ignoredError sqref="K4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3"/>
  <sheetViews>
    <sheetView workbookViewId="0">
      <selection activeCell="N20" sqref="N20"/>
    </sheetView>
  </sheetViews>
  <sheetFormatPr defaultColWidth="10.33203125" defaultRowHeight="12.75" x14ac:dyDescent="0.2"/>
  <cols>
    <col min="1" max="1" width="14" style="5" customWidth="1"/>
    <col min="2" max="2" width="9.83203125" customWidth="1"/>
    <col min="3" max="4" width="14.5" style="4" customWidth="1"/>
    <col min="5" max="5" width="9" style="4" customWidth="1"/>
    <col min="6" max="6" width="10.33203125" style="4"/>
    <col min="8" max="8" width="17.83203125" customWidth="1"/>
    <col min="9" max="9" width="13.6640625" customWidth="1"/>
    <col min="10" max="10" width="10.33203125" style="4"/>
    <col min="14" max="14" width="17.83203125" customWidth="1"/>
    <col min="15" max="15" width="12.83203125" customWidth="1"/>
    <col min="16" max="16" width="10.33203125" style="4"/>
    <col min="21" max="21" width="15.33203125" customWidth="1"/>
    <col min="27" max="27" width="13.6640625" customWidth="1"/>
    <col min="33" max="33" width="14.1640625" customWidth="1"/>
  </cols>
  <sheetData>
    <row r="2" spans="1:36" ht="15" x14ac:dyDescent="0.25">
      <c r="B2" s="73"/>
      <c r="E2" s="74" t="s">
        <v>36</v>
      </c>
      <c r="F2" s="4">
        <v>0.05</v>
      </c>
    </row>
    <row r="3" spans="1:36" s="76" customFormat="1" ht="60" x14ac:dyDescent="0.25">
      <c r="A3" s="75"/>
      <c r="C3" s="77"/>
      <c r="D3" s="77"/>
      <c r="E3" s="77"/>
      <c r="F3" s="77"/>
      <c r="H3" s="76" t="s">
        <v>37</v>
      </c>
      <c r="J3" s="77"/>
      <c r="N3" s="76" t="s">
        <v>38</v>
      </c>
      <c r="P3" s="77"/>
      <c r="T3" s="76" t="s">
        <v>39</v>
      </c>
      <c r="V3" s="77"/>
      <c r="Z3" s="76" t="s">
        <v>40</v>
      </c>
      <c r="AB3" s="77"/>
      <c r="AF3" s="76" t="s">
        <v>41</v>
      </c>
    </row>
    <row r="4" spans="1:36" ht="15" x14ac:dyDescent="0.25">
      <c r="A4" s="78" t="s">
        <v>30</v>
      </c>
      <c r="B4" s="73" t="s">
        <v>42</v>
      </c>
      <c r="C4" s="73" t="s">
        <v>43</v>
      </c>
      <c r="D4" s="73" t="s">
        <v>44</v>
      </c>
      <c r="E4" s="74" t="s">
        <v>45</v>
      </c>
      <c r="H4" s="73" t="s">
        <v>46</v>
      </c>
      <c r="I4" s="73" t="s">
        <v>47</v>
      </c>
      <c r="J4" s="73" t="s">
        <v>48</v>
      </c>
      <c r="K4" s="73"/>
      <c r="L4" s="73"/>
      <c r="M4" s="73"/>
      <c r="N4" s="73" t="s">
        <v>46</v>
      </c>
      <c r="O4" s="73" t="s">
        <v>47</v>
      </c>
      <c r="P4" s="73" t="s">
        <v>48</v>
      </c>
      <c r="Q4" s="73"/>
      <c r="R4" s="73"/>
      <c r="S4" s="73"/>
      <c r="T4" s="73" t="s">
        <v>46</v>
      </c>
      <c r="U4" s="73" t="s">
        <v>47</v>
      </c>
      <c r="V4" s="73" t="s">
        <v>48</v>
      </c>
      <c r="W4" s="73"/>
      <c r="X4" s="73"/>
      <c r="Y4" s="73"/>
      <c r="Z4" s="73" t="s">
        <v>46</v>
      </c>
      <c r="AA4" s="73" t="s">
        <v>47</v>
      </c>
      <c r="AB4" s="73" t="s">
        <v>48</v>
      </c>
      <c r="AC4" s="73"/>
      <c r="AD4" s="73"/>
      <c r="AE4" s="73"/>
      <c r="AF4" s="73" t="s">
        <v>46</v>
      </c>
      <c r="AG4" s="73" t="s">
        <v>47</v>
      </c>
      <c r="AH4" s="73" t="s">
        <v>48</v>
      </c>
      <c r="AI4" s="73"/>
      <c r="AJ4" s="73"/>
    </row>
    <row r="5" spans="1:36" ht="15" x14ac:dyDescent="0.25">
      <c r="J5" s="73" t="s">
        <v>49</v>
      </c>
      <c r="K5" s="73"/>
      <c r="L5" s="73"/>
      <c r="M5" s="73"/>
      <c r="P5" s="73" t="s">
        <v>49</v>
      </c>
      <c r="Q5" s="73"/>
      <c r="R5" s="73"/>
      <c r="S5" s="73"/>
      <c r="V5" s="73" t="s">
        <v>49</v>
      </c>
      <c r="W5" s="73"/>
      <c r="X5" s="73"/>
      <c r="Y5" s="73"/>
      <c r="AB5" s="73" t="s">
        <v>49</v>
      </c>
      <c r="AC5" s="73"/>
      <c r="AD5" s="73"/>
      <c r="AE5" s="73"/>
      <c r="AH5" s="73" t="s">
        <v>49</v>
      </c>
      <c r="AI5" s="73"/>
      <c r="AJ5" s="73"/>
    </row>
    <row r="6" spans="1:36" x14ac:dyDescent="0.2">
      <c r="A6" s="5">
        <v>1.7646484051644151E-2</v>
      </c>
      <c r="B6">
        <v>0</v>
      </c>
      <c r="C6" s="4">
        <v>1</v>
      </c>
      <c r="E6" s="4">
        <v>1</v>
      </c>
      <c r="V6" s="4"/>
      <c r="AB6" s="4"/>
    </row>
    <row r="7" spans="1:36" x14ac:dyDescent="0.2">
      <c r="A7" s="5">
        <v>2.4964829920183829E-2</v>
      </c>
      <c r="B7">
        <v>6</v>
      </c>
      <c r="C7" s="4">
        <f t="shared" ref="C7:C16" si="0">C6*(1-A6)</f>
        <v>0.98235351594835585</v>
      </c>
      <c r="D7" s="4">
        <f t="shared" ref="D7:D16" si="1">C6*A6</f>
        <v>1.7646484051644151E-2</v>
      </c>
      <c r="E7" s="4">
        <f t="shared" ref="E7:E16" si="2">1/(1+rf/2)^(B7/6)</f>
        <v>0.97560975609756106</v>
      </c>
      <c r="H7">
        <v>5</v>
      </c>
      <c r="I7">
        <v>10</v>
      </c>
      <c r="J7" s="4">
        <f>$E7*(H7*$C7+I7*$D7)</f>
        <v>4.964129190495826</v>
      </c>
      <c r="N7">
        <v>2</v>
      </c>
      <c r="O7">
        <v>25</v>
      </c>
      <c r="P7" s="4">
        <f>$E7*(N7*$C7+O7*$D7)</f>
        <v>2.3471893982320151</v>
      </c>
      <c r="T7">
        <v>5</v>
      </c>
      <c r="U7">
        <v>50</v>
      </c>
      <c r="V7" s="4">
        <f t="shared" ref="V7:V12" si="3">$E7*(T7*$C7+U7*$D7)</f>
        <v>5.652772470559988</v>
      </c>
      <c r="Z7">
        <v>5</v>
      </c>
      <c r="AA7">
        <v>10</v>
      </c>
      <c r="AB7" s="4">
        <f t="shared" ref="AB7:AB14" si="4">$E7*(Z7*$C7+AA7*$D7)</f>
        <v>4.964129190495826</v>
      </c>
      <c r="AF7">
        <v>10</v>
      </c>
      <c r="AG7">
        <v>20</v>
      </c>
      <c r="AH7" s="4">
        <f t="shared" ref="AH7:AH16" si="5">$E7*(AF7*$C7+AG7*$D7)</f>
        <v>9.928258380991652</v>
      </c>
    </row>
    <row r="8" spans="1:36" x14ac:dyDescent="0.2">
      <c r="A8" s="5">
        <v>2.4991526205603725E-2</v>
      </c>
      <c r="B8">
        <v>12</v>
      </c>
      <c r="C8" s="4">
        <f t="shared" si="0"/>
        <v>0.95782922750121058</v>
      </c>
      <c r="D8" s="4">
        <f t="shared" si="1"/>
        <v>2.4524288447145298E-2</v>
      </c>
      <c r="E8" s="4">
        <f t="shared" si="2"/>
        <v>0.95181439619274244</v>
      </c>
      <c r="H8">
        <v>105</v>
      </c>
      <c r="I8">
        <v>10</v>
      </c>
      <c r="J8" s="4">
        <f>$E8*(H8*$C8+I8*$D8)</f>
        <v>95.959368730135452</v>
      </c>
      <c r="N8">
        <v>2</v>
      </c>
      <c r="O8">
        <v>25</v>
      </c>
      <c r="P8" s="4">
        <f>$E8*(N8*$C8+O8*$D8)</f>
        <v>2.4069155656690575</v>
      </c>
      <c r="T8">
        <v>5</v>
      </c>
      <c r="U8">
        <v>50</v>
      </c>
      <c r="V8" s="4">
        <f t="shared" si="3"/>
        <v>5.725506779167941</v>
      </c>
      <c r="Z8">
        <v>5</v>
      </c>
      <c r="AA8">
        <v>10</v>
      </c>
      <c r="AB8" s="4">
        <f t="shared" si="4"/>
        <v>4.791803947152891</v>
      </c>
      <c r="AF8">
        <v>10</v>
      </c>
      <c r="AG8">
        <v>20</v>
      </c>
      <c r="AH8" s="4">
        <f t="shared" si="5"/>
        <v>9.5836078943057821</v>
      </c>
    </row>
    <row r="9" spans="1:36" x14ac:dyDescent="0.2">
      <c r="A9" s="5">
        <v>2.7430204555949866E-2</v>
      </c>
      <c r="B9">
        <v>18</v>
      </c>
      <c r="C9" s="4">
        <f t="shared" si="0"/>
        <v>0.93389161326162085</v>
      </c>
      <c r="D9" s="4">
        <f t="shared" si="1"/>
        <v>2.3937614239589677E-2</v>
      </c>
      <c r="E9" s="4">
        <f t="shared" si="2"/>
        <v>0.92859941091974885</v>
      </c>
      <c r="N9">
        <v>2</v>
      </c>
      <c r="O9">
        <v>25</v>
      </c>
      <c r="P9" s="4">
        <f>$E9*(N9*$C9+O9*$D9)</f>
        <v>2.2901337659179495</v>
      </c>
      <c r="T9">
        <v>5</v>
      </c>
      <c r="U9">
        <v>50</v>
      </c>
      <c r="V9" s="4">
        <f t="shared" si="3"/>
        <v>5.4474787337735338</v>
      </c>
      <c r="Z9">
        <v>5</v>
      </c>
      <c r="AA9">
        <v>10</v>
      </c>
      <c r="AB9" s="4">
        <f t="shared" si="4"/>
        <v>4.5583405545052473</v>
      </c>
      <c r="AF9">
        <v>10</v>
      </c>
      <c r="AG9">
        <v>20</v>
      </c>
      <c r="AH9" s="4">
        <f t="shared" si="5"/>
        <v>9.1166811090104947</v>
      </c>
    </row>
    <row r="10" spans="1:36" x14ac:dyDescent="0.2">
      <c r="A10" s="5">
        <v>2.783583605029908E-2</v>
      </c>
      <c r="B10">
        <v>24</v>
      </c>
      <c r="C10" s="4">
        <f t="shared" si="0"/>
        <v>0.90827477527676848</v>
      </c>
      <c r="D10" s="4">
        <f t="shared" si="1"/>
        <v>2.5616837984852283E-2</v>
      </c>
      <c r="E10" s="4">
        <f t="shared" si="2"/>
        <v>0.90595064479975507</v>
      </c>
      <c r="N10">
        <v>102</v>
      </c>
      <c r="O10">
        <v>25</v>
      </c>
      <c r="P10" s="4">
        <f>$E10*(N10*$C10+O10*$D10)</f>
        <v>84.511105840621468</v>
      </c>
      <c r="T10">
        <v>5</v>
      </c>
      <c r="U10">
        <v>50</v>
      </c>
      <c r="V10" s="4">
        <f t="shared" si="3"/>
        <v>5.2746401360920938</v>
      </c>
      <c r="Z10">
        <v>5</v>
      </c>
      <c r="AA10">
        <v>10</v>
      </c>
      <c r="AB10" s="4">
        <f t="shared" si="4"/>
        <v>4.3463365004877828</v>
      </c>
      <c r="AF10">
        <v>10</v>
      </c>
      <c r="AG10">
        <v>20</v>
      </c>
      <c r="AH10" s="4">
        <f t="shared" si="5"/>
        <v>8.6926730009755655</v>
      </c>
    </row>
    <row r="11" spans="1:36" x14ac:dyDescent="0.2">
      <c r="A11" s="5">
        <v>3.4947696275551381E-2</v>
      </c>
      <c r="B11">
        <v>30</v>
      </c>
      <c r="C11" s="4">
        <f t="shared" si="0"/>
        <v>0.88299218754354214</v>
      </c>
      <c r="D11" s="4">
        <f t="shared" si="1"/>
        <v>2.5282587733226367E-2</v>
      </c>
      <c r="E11" s="4">
        <f t="shared" si="2"/>
        <v>0.88385428760951712</v>
      </c>
      <c r="T11">
        <v>5</v>
      </c>
      <c r="U11">
        <v>50</v>
      </c>
      <c r="V11" s="4">
        <f t="shared" si="3"/>
        <v>5.0194883329241282</v>
      </c>
      <c r="Z11">
        <v>5</v>
      </c>
      <c r="AA11">
        <v>10</v>
      </c>
      <c r="AB11" s="4">
        <f t="shared" si="4"/>
        <v>4.125643390129091</v>
      </c>
      <c r="AF11">
        <v>10</v>
      </c>
      <c r="AG11">
        <v>20</v>
      </c>
      <c r="AH11" s="4">
        <f t="shared" si="5"/>
        <v>8.251286780258182</v>
      </c>
    </row>
    <row r="12" spans="1:36" x14ac:dyDescent="0.2">
      <c r="A12" s="5">
        <v>3.4947696275551408E-2</v>
      </c>
      <c r="B12">
        <v>36</v>
      </c>
      <c r="C12" s="4">
        <f t="shared" si="0"/>
        <v>0.85213364475958575</v>
      </c>
      <c r="D12" s="4">
        <f t="shared" si="1"/>
        <v>3.0858542783956413E-2</v>
      </c>
      <c r="E12" s="4">
        <f t="shared" si="2"/>
        <v>0.86229686596050459</v>
      </c>
      <c r="T12">
        <v>105</v>
      </c>
      <c r="U12">
        <v>50</v>
      </c>
      <c r="V12" s="4">
        <f t="shared" si="3"/>
        <v>78.483639218383416</v>
      </c>
      <c r="Z12">
        <v>5</v>
      </c>
      <c r="AA12">
        <v>10</v>
      </c>
      <c r="AB12" s="4">
        <f t="shared" si="4"/>
        <v>3.9400531035856008</v>
      </c>
      <c r="AF12">
        <v>10</v>
      </c>
      <c r="AG12">
        <v>20</v>
      </c>
      <c r="AH12" s="4">
        <f t="shared" si="5"/>
        <v>7.8801062071712016</v>
      </c>
    </row>
    <row r="13" spans="1:36" x14ac:dyDescent="0.2">
      <c r="A13" s="5">
        <v>3.7458527577703252E-2</v>
      </c>
      <c r="B13">
        <v>42</v>
      </c>
      <c r="C13" s="4">
        <f t="shared" si="0"/>
        <v>0.82235353695634916</v>
      </c>
      <c r="D13" s="4">
        <f t="shared" si="1"/>
        <v>2.9780107803236623E-2</v>
      </c>
      <c r="E13" s="4">
        <f t="shared" si="2"/>
        <v>0.84126523508341911</v>
      </c>
      <c r="V13" s="4"/>
      <c r="Z13">
        <v>5</v>
      </c>
      <c r="AA13">
        <v>10</v>
      </c>
      <c r="AB13" s="4">
        <f t="shared" si="4"/>
        <v>3.7096169018653153</v>
      </c>
      <c r="AF13">
        <v>10</v>
      </c>
      <c r="AG13">
        <v>20</v>
      </c>
      <c r="AH13" s="4">
        <f t="shared" si="5"/>
        <v>7.4192338037306307</v>
      </c>
    </row>
    <row r="14" spans="1:36" x14ac:dyDescent="0.2">
      <c r="A14" s="5">
        <v>4.0612135757840791E-2</v>
      </c>
      <c r="B14">
        <v>48</v>
      </c>
      <c r="C14" s="4">
        <f t="shared" si="0"/>
        <v>0.79154938431364796</v>
      </c>
      <c r="D14" s="4">
        <f t="shared" si="1"/>
        <v>3.0804152642701216E-2</v>
      </c>
      <c r="E14" s="4">
        <f t="shared" si="2"/>
        <v>0.82074657081309188</v>
      </c>
      <c r="V14" s="4"/>
      <c r="Z14">
        <v>105</v>
      </c>
      <c r="AA14">
        <v>10</v>
      </c>
      <c r="AB14" s="4">
        <f t="shared" si="4"/>
        <v>68.46727552097029</v>
      </c>
      <c r="AF14">
        <v>10</v>
      </c>
      <c r="AG14">
        <v>20</v>
      </c>
      <c r="AH14" s="4">
        <f t="shared" si="5"/>
        <v>7.0022624810124094</v>
      </c>
    </row>
    <row r="15" spans="1:36" x14ac:dyDescent="0.2">
      <c r="A15" s="5">
        <v>4.2105608027395103E-2</v>
      </c>
      <c r="B15">
        <v>54</v>
      </c>
      <c r="C15" s="4">
        <f t="shared" si="0"/>
        <v>0.7594028732588668</v>
      </c>
      <c r="D15" s="4">
        <f t="shared" si="1"/>
        <v>3.2146511054781161E-2</v>
      </c>
      <c r="E15" s="4">
        <f t="shared" si="2"/>
        <v>0.8007283617688703</v>
      </c>
      <c r="V15" s="4"/>
      <c r="AB15" s="4"/>
      <c r="AF15">
        <v>10</v>
      </c>
      <c r="AG15">
        <v>20</v>
      </c>
      <c r="AH15" s="4">
        <f t="shared" si="5"/>
        <v>6.59556664894105</v>
      </c>
    </row>
    <row r="16" spans="1:36" x14ac:dyDescent="0.2">
      <c r="A16" s="5">
        <v>4.2115562055929645E-2</v>
      </c>
      <c r="B16">
        <v>60</v>
      </c>
      <c r="C16" s="4">
        <f t="shared" si="0"/>
        <v>0.72742775354255129</v>
      </c>
      <c r="D16" s="4">
        <f t="shared" si="1"/>
        <v>3.1975119716315448E-2</v>
      </c>
      <c r="E16" s="4">
        <f t="shared" si="2"/>
        <v>0.78119840172572708</v>
      </c>
      <c r="V16" s="4"/>
      <c r="AB16" s="4"/>
      <c r="AF16">
        <v>110</v>
      </c>
      <c r="AG16">
        <v>20</v>
      </c>
      <c r="AH16" s="4">
        <f t="shared" si="5"/>
        <v>63.008772076568981</v>
      </c>
    </row>
    <row r="17" spans="9:34" x14ac:dyDescent="0.2">
      <c r="V17" s="4"/>
      <c r="AB17" s="4"/>
    </row>
    <row r="18" spans="9:34" ht="15" x14ac:dyDescent="0.25">
      <c r="I18" s="79" t="s">
        <v>50</v>
      </c>
      <c r="J18" s="4">
        <f>SUM(J7:J16)</f>
        <v>100.92349792063128</v>
      </c>
      <c r="O18" s="79" t="s">
        <v>50</v>
      </c>
      <c r="P18" s="4">
        <f>SUM(P7:P16)</f>
        <v>91.555344570440496</v>
      </c>
      <c r="U18" s="79" t="s">
        <v>50</v>
      </c>
      <c r="V18" s="4">
        <f>SUM(V7:V16)</f>
        <v>105.60352567090109</v>
      </c>
      <c r="AA18" s="79" t="s">
        <v>50</v>
      </c>
      <c r="AB18" s="4">
        <f>SUM(AB7:AB16)</f>
        <v>98.903199109192045</v>
      </c>
      <c r="AG18" s="79" t="s">
        <v>50</v>
      </c>
      <c r="AH18" s="4">
        <f>SUM(AH7:AH16)</f>
        <v>137.47844838296595</v>
      </c>
    </row>
    <row r="19" spans="9:34" ht="15" x14ac:dyDescent="0.25">
      <c r="I19" s="79" t="s">
        <v>51</v>
      </c>
      <c r="J19" s="4">
        <v>100.92349791790602</v>
      </c>
      <c r="O19" s="79" t="s">
        <v>51</v>
      </c>
      <c r="P19" s="4">
        <v>91.555344568772824</v>
      </c>
      <c r="U19" s="79" t="s">
        <v>51</v>
      </c>
      <c r="V19" s="4">
        <v>105.60352567177645</v>
      </c>
      <c r="AA19" s="79" t="s">
        <v>51</v>
      </c>
      <c r="AB19" s="4">
        <v>98.903199109608323</v>
      </c>
      <c r="AG19" s="79" t="s">
        <v>51</v>
      </c>
      <c r="AH19" s="4">
        <v>137.4784483848259</v>
      </c>
    </row>
    <row r="20" spans="9:34" ht="15" x14ac:dyDescent="0.25">
      <c r="I20" s="79" t="s">
        <v>52</v>
      </c>
      <c r="J20" s="4">
        <f>(J18-J19)^2</f>
        <v>7.4270324817650327E-18</v>
      </c>
      <c r="O20" s="79" t="s">
        <v>52</v>
      </c>
      <c r="P20" s="4">
        <f>(P18-P19)^2</f>
        <v>2.7811306418261185E-18</v>
      </c>
      <c r="U20" s="79" t="s">
        <v>52</v>
      </c>
      <c r="V20" s="4">
        <f>(V18-V19)^2</f>
        <v>7.6625553007202297E-19</v>
      </c>
      <c r="AA20" s="79" t="s">
        <v>52</v>
      </c>
      <c r="AB20" s="4">
        <f>(AB18-AB19)^2</f>
        <v>1.7328784548711658E-19</v>
      </c>
      <c r="AG20" s="79" t="s">
        <v>52</v>
      </c>
      <c r="AH20" s="4">
        <f>(AH18-AH19)^2</f>
        <v>3.4593957260419111E-18</v>
      </c>
    </row>
    <row r="21" spans="9:34" ht="15" x14ac:dyDescent="0.25">
      <c r="I21" s="79" t="s">
        <v>53</v>
      </c>
      <c r="J21" s="80">
        <f>J20+P20+V20+AB20+AH20</f>
        <v>1.4607102225192202E-17</v>
      </c>
    </row>
    <row r="23" spans="9:34" x14ac:dyDescent="0.2">
      <c r="J23" s="4">
        <v>100.92349791790602</v>
      </c>
      <c r="O23" t="s">
        <v>51</v>
      </c>
      <c r="P23" s="4">
        <v>91.555344568772824</v>
      </c>
      <c r="U23" t="s">
        <v>51</v>
      </c>
      <c r="V23" s="4">
        <v>105.60352567177645</v>
      </c>
      <c r="AA23" t="s">
        <v>51</v>
      </c>
      <c r="AB23" s="4">
        <v>98.903199109608323</v>
      </c>
      <c r="AH23" s="4">
        <v>137.4784483848259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H30" sqref="H30"/>
    </sheetView>
  </sheetViews>
  <sheetFormatPr defaultColWidth="10.33203125" defaultRowHeight="12.75" x14ac:dyDescent="0.2"/>
  <cols>
    <col min="1" max="1" width="14.33203125" customWidth="1"/>
    <col min="2" max="2" width="13.83203125" style="4" customWidth="1"/>
    <col min="3" max="3" width="11" style="9" customWidth="1"/>
    <col min="4" max="5" width="12.1640625" customWidth="1"/>
    <col min="7" max="7" width="10.33203125" style="82"/>
    <col min="8" max="8" width="13.33203125" customWidth="1"/>
    <col min="10" max="10" width="11.33203125" customWidth="1"/>
    <col min="11" max="11" width="12" customWidth="1"/>
    <col min="12" max="12" width="11.6640625" customWidth="1"/>
  </cols>
  <sheetData>
    <row r="1" spans="1:12" ht="15" x14ac:dyDescent="0.25">
      <c r="A1" s="73" t="s">
        <v>54</v>
      </c>
      <c r="B1" s="81">
        <v>298.485298482583</v>
      </c>
      <c r="C1"/>
    </row>
    <row r="2" spans="1:12" ht="15" x14ac:dyDescent="0.25">
      <c r="A2" s="73" t="s">
        <v>55</v>
      </c>
      <c r="B2" s="83">
        <v>10000000</v>
      </c>
      <c r="C2"/>
    </row>
    <row r="3" spans="1:12" ht="30" customHeight="1" x14ac:dyDescent="0.25">
      <c r="A3" s="73" t="s">
        <v>47</v>
      </c>
      <c r="B3" s="81">
        <v>0.25</v>
      </c>
      <c r="C3"/>
    </row>
    <row r="4" spans="1:12" ht="30" customHeight="1" x14ac:dyDescent="0.25">
      <c r="A4" s="73" t="s">
        <v>56</v>
      </c>
      <c r="B4" s="81">
        <v>0.05</v>
      </c>
      <c r="C4"/>
    </row>
    <row r="5" spans="1:12" s="86" customFormat="1" ht="81" customHeight="1" x14ac:dyDescent="0.25">
      <c r="A5" s="84" t="s">
        <v>57</v>
      </c>
      <c r="B5" s="84" t="s">
        <v>58</v>
      </c>
      <c r="C5" s="85" t="s">
        <v>30</v>
      </c>
      <c r="D5" s="84" t="s">
        <v>59</v>
      </c>
      <c r="E5" s="84" t="s">
        <v>60</v>
      </c>
      <c r="F5" s="84" t="s">
        <v>61</v>
      </c>
      <c r="G5" s="84" t="s">
        <v>62</v>
      </c>
      <c r="H5" s="84" t="s">
        <v>63</v>
      </c>
      <c r="I5" s="84" t="s">
        <v>64</v>
      </c>
      <c r="J5" s="84" t="s">
        <v>65</v>
      </c>
      <c r="K5" s="84" t="s">
        <v>66</v>
      </c>
      <c r="L5" s="84" t="s">
        <v>67</v>
      </c>
    </row>
    <row r="6" spans="1:12" x14ac:dyDescent="0.2">
      <c r="A6">
        <v>0</v>
      </c>
      <c r="B6" s="4">
        <v>1</v>
      </c>
      <c r="C6" s="9">
        <f>[1]Calibration!$A$6/2</f>
        <v>1.007028652009901E-2</v>
      </c>
      <c r="D6" s="87">
        <v>100</v>
      </c>
      <c r="E6" s="87"/>
      <c r="F6" s="4"/>
      <c r="H6" s="87"/>
    </row>
    <row r="7" spans="1:12" x14ac:dyDescent="0.2">
      <c r="A7">
        <v>3</v>
      </c>
      <c r="B7" s="4">
        <f t="shared" ref="B7:B26" si="0">1/(1+$B$4/4)^(A7/3)</f>
        <v>0.98765432098765438</v>
      </c>
      <c r="C7" s="9">
        <f>[1]Calibration!$A$6/2</f>
        <v>1.007028652009901E-2</v>
      </c>
      <c r="D7" s="87">
        <f t="shared" ref="D7:D26" si="1">D6*(1-C6)</f>
        <v>98.992971347990107</v>
      </c>
      <c r="E7" s="87">
        <f t="shared" ref="E7:E26" si="2">$B$1/4</f>
        <v>74.621324620645751</v>
      </c>
      <c r="F7" s="4">
        <f t="shared" ref="F7:F26" si="3">E7*D7/100</f>
        <v>73.869866501206531</v>
      </c>
      <c r="G7" s="82">
        <f t="shared" ref="G7:G26" si="4">F7*B7*N*0.0001</f>
        <v>72957.892840697823</v>
      </c>
      <c r="H7" s="87">
        <f>D6*C6</f>
        <v>1.007028652009901</v>
      </c>
      <c r="I7" s="4">
        <f t="shared" ref="I7:I26" si="5">E7/2*H7/100</f>
        <v>0.37572905971961063</v>
      </c>
      <c r="J7" s="88">
        <f t="shared" ref="J7:J14" si="6">I7*B7*N*0.0001</f>
        <v>371.0904293527019</v>
      </c>
      <c r="K7" s="5">
        <f t="shared" ref="K7:K26" si="7">(1-$B$3)*H7/100</f>
        <v>7.5527148900742568E-3</v>
      </c>
      <c r="L7" s="88">
        <f t="shared" ref="L7:L14" si="8">K7*B7*N</f>
        <v>74594.714963696373</v>
      </c>
    </row>
    <row r="8" spans="1:12" x14ac:dyDescent="0.2">
      <c r="A8">
        <v>6</v>
      </c>
      <c r="B8" s="4">
        <f t="shared" si="0"/>
        <v>0.97546105776558456</v>
      </c>
      <c r="C8" s="9">
        <f>[1]Calibration!$A$6/2</f>
        <v>1.007028652009901E-2</v>
      </c>
      <c r="D8" s="87">
        <f t="shared" si="1"/>
        <v>97.996083763039891</v>
      </c>
      <c r="E8" s="87">
        <f t="shared" si="2"/>
        <v>74.621324620645751</v>
      </c>
      <c r="F8" s="4">
        <f t="shared" si="3"/>
        <v>73.125975780337924</v>
      </c>
      <c r="G8" s="82">
        <f t="shared" si="4"/>
        <v>71331.541684828946</v>
      </c>
      <c r="H8" s="87">
        <f t="shared" ref="H8:H26" si="9">D7*C7</f>
        <v>0.99688758495021235</v>
      </c>
      <c r="I8" s="4">
        <f t="shared" si="5"/>
        <v>0.37194536043430682</v>
      </c>
      <c r="J8" s="88">
        <f t="shared" si="6"/>
        <v>362.81821472025058</v>
      </c>
      <c r="K8" s="5">
        <f t="shared" si="7"/>
        <v>7.4766568871265926E-3</v>
      </c>
      <c r="L8" s="88">
        <f t="shared" si="8"/>
        <v>72931.876356668479</v>
      </c>
    </row>
    <row r="9" spans="1:12" x14ac:dyDescent="0.2">
      <c r="A9">
        <v>9</v>
      </c>
      <c r="B9" s="4">
        <f t="shared" si="0"/>
        <v>0.96341832865736754</v>
      </c>
      <c r="C9" s="9">
        <f>[1]Calibration!$A$6/2</f>
        <v>1.007028652009901E-2</v>
      </c>
      <c r="D9" s="87">
        <f t="shared" si="1"/>
        <v>97.009235121698453</v>
      </c>
      <c r="E9" s="87">
        <f t="shared" si="2"/>
        <v>74.621324620645751</v>
      </c>
      <c r="F9" s="4">
        <f t="shared" si="3"/>
        <v>72.389576252168084</v>
      </c>
      <c r="G9" s="82">
        <f t="shared" si="4"/>
        <v>69741.44456507884</v>
      </c>
      <c r="H9" s="87">
        <f t="shared" si="9"/>
        <v>0.98684864134143413</v>
      </c>
      <c r="I9" s="4">
        <f t="shared" si="5"/>
        <v>0.36819976408491184</v>
      </c>
      <c r="J9" s="88">
        <f t="shared" si="6"/>
        <v>354.73040132672281</v>
      </c>
      <c r="K9" s="5">
        <f t="shared" si="7"/>
        <v>7.4013648100607551E-3</v>
      </c>
      <c r="L9" s="88">
        <f t="shared" si="8"/>
        <v>71306.105150921881</v>
      </c>
    </row>
    <row r="10" spans="1:12" x14ac:dyDescent="0.2">
      <c r="A10">
        <v>12</v>
      </c>
      <c r="B10" s="4">
        <f t="shared" si="0"/>
        <v>0.9515242752171531</v>
      </c>
      <c r="C10" s="9">
        <f>[1]Calibration!$A$8/2</f>
        <v>9.7215516693314897E-3</v>
      </c>
      <c r="D10" s="87">
        <f t="shared" si="1"/>
        <v>96.032324328927302</v>
      </c>
      <c r="E10" s="87">
        <f t="shared" si="2"/>
        <v>74.621324620645751</v>
      </c>
      <c r="F10" s="4">
        <f t="shared" si="3"/>
        <v>71.660592478240204</v>
      </c>
      <c r="G10" s="82">
        <f t="shared" si="4"/>
        <v>68186.793319489298</v>
      </c>
      <c r="H10" s="87">
        <f t="shared" si="9"/>
        <v>0.97691079277115545</v>
      </c>
      <c r="I10" s="4">
        <f t="shared" si="5"/>
        <v>0.36449188696394397</v>
      </c>
      <c r="J10" s="88">
        <f t="shared" si="6"/>
        <v>346.82287856589932</v>
      </c>
      <c r="K10" s="5">
        <f t="shared" si="7"/>
        <v>7.3268309457836652E-3</v>
      </c>
      <c r="L10" s="88">
        <f t="shared" si="8"/>
        <v>69716.575053254113</v>
      </c>
    </row>
    <row r="11" spans="1:12" x14ac:dyDescent="0.2">
      <c r="A11">
        <v>15</v>
      </c>
      <c r="B11" s="4">
        <f t="shared" si="0"/>
        <v>0.93977706194286736</v>
      </c>
      <c r="C11" s="9">
        <f>[1]Calibration!$A$8/2</f>
        <v>9.7215516693314897E-3</v>
      </c>
      <c r="D11" s="87">
        <f t="shared" si="1"/>
        <v>95.098741126037638</v>
      </c>
      <c r="E11" s="87">
        <f t="shared" si="2"/>
        <v>74.621324620645751</v>
      </c>
      <c r="F11" s="4">
        <f t="shared" si="3"/>
        <v>70.963940325808096</v>
      </c>
      <c r="G11" s="82">
        <f t="shared" si="4"/>
        <v>66690.283343276911</v>
      </c>
      <c r="H11" s="87">
        <f t="shared" si="9"/>
        <v>0.93358320288966623</v>
      </c>
      <c r="I11" s="4">
        <f t="shared" si="5"/>
        <v>0.34832607621605988</v>
      </c>
      <c r="J11" s="88">
        <f t="shared" si="6"/>
        <v>327.34885650441606</v>
      </c>
      <c r="K11" s="5">
        <f t="shared" si="7"/>
        <v>7.0018740216724962E-3</v>
      </c>
      <c r="L11" s="88">
        <f t="shared" si="8"/>
        <v>65802.005961814677</v>
      </c>
    </row>
    <row r="12" spans="1:12" x14ac:dyDescent="0.2">
      <c r="A12">
        <v>18</v>
      </c>
      <c r="B12" s="4">
        <f t="shared" si="0"/>
        <v>0.92817487599295534</v>
      </c>
      <c r="C12" s="9">
        <f>[1]Calibration!$A$8/2</f>
        <v>9.7215516693314897E-3</v>
      </c>
      <c r="D12" s="87">
        <f t="shared" si="1"/>
        <v>94.174233800492473</v>
      </c>
      <c r="E12" s="87">
        <f t="shared" si="2"/>
        <v>74.621324620645751</v>
      </c>
      <c r="F12" s="4">
        <f t="shared" si="3"/>
        <v>70.274060713271382</v>
      </c>
      <c r="G12" s="82">
        <f t="shared" si="4"/>
        <v>65226.617588062087</v>
      </c>
      <c r="H12" s="87">
        <f t="shared" si="9"/>
        <v>0.92450732554515436</v>
      </c>
      <c r="I12" s="4">
        <f t="shared" si="5"/>
        <v>0.34493980626834991</v>
      </c>
      <c r="J12" s="88">
        <f t="shared" si="6"/>
        <v>320.16446190815975</v>
      </c>
      <c r="K12" s="5">
        <f t="shared" si="7"/>
        <v>6.9338049415886569E-3</v>
      </c>
      <c r="L12" s="88">
        <f t="shared" si="8"/>
        <v>64357.835418183924</v>
      </c>
    </row>
    <row r="13" spans="1:12" x14ac:dyDescent="0.2">
      <c r="A13">
        <v>21</v>
      </c>
      <c r="B13" s="4">
        <f t="shared" si="0"/>
        <v>0.91671592690662274</v>
      </c>
      <c r="C13" s="9">
        <f>[1]Calibration!$A$8/2</f>
        <v>9.7215516693314897E-3</v>
      </c>
      <c r="D13" s="87">
        <f t="shared" si="1"/>
        <v>93.258714120681276</v>
      </c>
      <c r="E13" s="87">
        <f t="shared" si="2"/>
        <v>74.621324620645751</v>
      </c>
      <c r="F13" s="4">
        <f t="shared" si="3"/>
        <v>69.590887801033574</v>
      </c>
      <c r="G13" s="82">
        <f t="shared" si="4"/>
        <v>63795.075214779288</v>
      </c>
      <c r="H13" s="87">
        <f t="shared" si="9"/>
        <v>0.91551967981119164</v>
      </c>
      <c r="I13" s="4">
        <f t="shared" si="5"/>
        <v>0.34158645611890293</v>
      </c>
      <c r="J13" s="88">
        <f t="shared" si="6"/>
        <v>313.1377447397885</v>
      </c>
      <c r="K13" s="5">
        <f t="shared" si="7"/>
        <v>6.8663975985839374E-3</v>
      </c>
      <c r="L13" s="88">
        <f t="shared" si="8"/>
        <v>62945.360390952825</v>
      </c>
    </row>
    <row r="14" spans="1:12" x14ac:dyDescent="0.2">
      <c r="A14">
        <v>24</v>
      </c>
      <c r="B14" s="4">
        <f t="shared" si="0"/>
        <v>0.90539844632752842</v>
      </c>
      <c r="C14" s="9">
        <f>[1]Calibration!$A$9/2</f>
        <v>9.7215516693314897E-3</v>
      </c>
      <c r="D14" s="87">
        <f t="shared" si="1"/>
        <v>92.35209471274166</v>
      </c>
      <c r="E14" s="87">
        <f t="shared" si="2"/>
        <v>74.621324620645751</v>
      </c>
      <c r="F14" s="4">
        <f t="shared" si="3"/>
        <v>68.914356389561178</v>
      </c>
      <c r="G14" s="82">
        <f t="shared" si="4"/>
        <v>62394.951204770266</v>
      </c>
      <c r="H14" s="87">
        <f t="shared" si="9"/>
        <v>0.90661940793961726</v>
      </c>
      <c r="I14" s="4">
        <f t="shared" si="5"/>
        <v>0.33826570573619918</v>
      </c>
      <c r="J14" s="88">
        <f t="shared" si="6"/>
        <v>306.26524441943968</v>
      </c>
      <c r="K14" s="5">
        <f t="shared" si="7"/>
        <v>6.7996455595471291E-3</v>
      </c>
      <c r="L14" s="88">
        <f t="shared" si="8"/>
        <v>61563.88525191848</v>
      </c>
    </row>
    <row r="15" spans="1:12" x14ac:dyDescent="0.2">
      <c r="A15">
        <v>27</v>
      </c>
      <c r="B15" s="4">
        <f t="shared" si="0"/>
        <v>0.89422068773089236</v>
      </c>
      <c r="C15" s="9">
        <f>[1]Calibration!$A$6/2</f>
        <v>1.007028652009901E-2</v>
      </c>
      <c r="D15" s="87">
        <f t="shared" si="1"/>
        <v>91.454289052220744</v>
      </c>
      <c r="E15" s="87">
        <f t="shared" si="2"/>
        <v>74.621324620645751</v>
      </c>
      <c r="F15" s="4">
        <f t="shared" si="3"/>
        <v>68.244401913161326</v>
      </c>
      <c r="G15" s="82">
        <f t="shared" si="4"/>
        <v>61025.556012570552</v>
      </c>
      <c r="H15" s="87">
        <f t="shared" si="9"/>
        <v>0.89780566052091348</v>
      </c>
      <c r="I15" s="4">
        <f t="shared" si="5"/>
        <v>0.33497723819992181</v>
      </c>
      <c r="J15" s="88">
        <f t="shared" ref="J15:J26" si="10">I15*B15*N*0.0001</f>
        <v>299.54357631732904</v>
      </c>
      <c r="K15" s="5">
        <f t="shared" si="7"/>
        <v>6.7335424539068508E-3</v>
      </c>
      <c r="L15" s="88">
        <f t="shared" ref="L15:L26" si="11">K15*B15*N</f>
        <v>60212.72963997745</v>
      </c>
    </row>
    <row r="16" spans="1:12" x14ac:dyDescent="0.2">
      <c r="A16">
        <v>30</v>
      </c>
      <c r="B16" s="4">
        <f t="shared" si="0"/>
        <v>0.88318092615396759</v>
      </c>
      <c r="C16" s="9">
        <f>[1]Calibration!$A$6/2</f>
        <v>1.007028652009901E-2</v>
      </c>
      <c r="D16" s="87">
        <f t="shared" si="1"/>
        <v>90.533318157972928</v>
      </c>
      <c r="E16" s="87">
        <f t="shared" si="2"/>
        <v>74.621324620645751</v>
      </c>
      <c r="F16" s="4">
        <f t="shared" si="3"/>
        <v>67.557161232503006</v>
      </c>
      <c r="G16" s="82">
        <f t="shared" si="4"/>
        <v>59665.196225654916</v>
      </c>
      <c r="H16" s="87">
        <f t="shared" si="9"/>
        <v>0.92097089424781708</v>
      </c>
      <c r="I16" s="4">
        <f t="shared" si="5"/>
        <v>0.34362034032916383</v>
      </c>
      <c r="J16" s="88">
        <f t="shared" si="10"/>
        <v>303.47893041725246</v>
      </c>
      <c r="K16" s="5">
        <f t="shared" si="7"/>
        <v>6.9072817068586275E-3</v>
      </c>
      <c r="L16" s="88">
        <f t="shared" si="11"/>
        <v>61003.79455069761</v>
      </c>
    </row>
    <row r="17" spans="1:12" x14ac:dyDescent="0.2">
      <c r="A17">
        <v>33</v>
      </c>
      <c r="B17" s="4">
        <f t="shared" si="0"/>
        <v>0.87227745792984479</v>
      </c>
      <c r="C17" s="9">
        <f>[1]Calibration!$A$6/2</f>
        <v>1.007028652009901E-2</v>
      </c>
      <c r="D17" s="87">
        <f t="shared" si="1"/>
        <v>89.621621704506865</v>
      </c>
      <c r="E17" s="87">
        <f t="shared" si="2"/>
        <v>74.621324620645751</v>
      </c>
      <c r="F17" s="4">
        <f t="shared" si="3"/>
        <v>66.876841262407183</v>
      </c>
      <c r="G17" s="82">
        <f t="shared" si="4"/>
        <v>58335.161090750291</v>
      </c>
      <c r="H17" s="87">
        <f t="shared" si="9"/>
        <v>0.91169645346606976</v>
      </c>
      <c r="I17" s="4">
        <f t="shared" si="5"/>
        <v>0.34015998504791528</v>
      </c>
      <c r="J17" s="88">
        <f t="shared" si="10"/>
        <v>296.71388704704958</v>
      </c>
      <c r="K17" s="5">
        <f t="shared" si="7"/>
        <v>6.8377234009955237E-3</v>
      </c>
      <c r="L17" s="88">
        <f t="shared" si="11"/>
        <v>59643.91986247788</v>
      </c>
    </row>
    <row r="18" spans="1:12" x14ac:dyDescent="0.2">
      <c r="A18">
        <v>36</v>
      </c>
      <c r="B18" s="4">
        <f t="shared" si="0"/>
        <v>0.86150860042453792</v>
      </c>
      <c r="C18" s="9">
        <f>[1]Calibration!$A$6/2</f>
        <v>1.007028652009901E-2</v>
      </c>
      <c r="D18" s="87">
        <f t="shared" si="1"/>
        <v>88.719106295546553</v>
      </c>
      <c r="E18" s="87">
        <f t="shared" si="2"/>
        <v>74.621324620645751</v>
      </c>
      <c r="F18" s="4">
        <f t="shared" si="3"/>
        <v>66.203372309335549</v>
      </c>
      <c r="G18" s="82">
        <f t="shared" si="4"/>
        <v>57034.774621600285</v>
      </c>
      <c r="H18" s="87">
        <f t="shared" si="9"/>
        <v>0.90251540896030835</v>
      </c>
      <c r="I18" s="4">
        <f t="shared" si="5"/>
        <v>0.33673447653581012</v>
      </c>
      <c r="J18" s="88">
        <f t="shared" si="10"/>
        <v>290.09964759505516</v>
      </c>
      <c r="K18" s="5">
        <f t="shared" si="7"/>
        <v>6.7688655672023127E-3</v>
      </c>
      <c r="L18" s="88">
        <f t="shared" si="11"/>
        <v>58314.359012623107</v>
      </c>
    </row>
    <row r="19" spans="1:12" x14ac:dyDescent="0.2">
      <c r="A19">
        <v>39</v>
      </c>
      <c r="B19" s="4">
        <f t="shared" si="0"/>
        <v>0.85087269177732161</v>
      </c>
      <c r="C19" s="9">
        <f>[1]Calibration!$A$8/2</f>
        <v>9.7215516693314897E-3</v>
      </c>
      <c r="D19" s="87">
        <f t="shared" si="1"/>
        <v>87.825679475343279</v>
      </c>
      <c r="E19" s="87">
        <f t="shared" si="2"/>
        <v>74.621324620645751</v>
      </c>
      <c r="F19" s="4">
        <f t="shared" si="3"/>
        <v>65.536685381583752</v>
      </c>
      <c r="G19" s="82">
        <f t="shared" si="4"/>
        <v>55763.375900791609</v>
      </c>
      <c r="H19" s="87">
        <f t="shared" si="9"/>
        <v>0.89342682020327369</v>
      </c>
      <c r="I19" s="4">
        <f t="shared" si="5"/>
        <v>0.33334346387589897</v>
      </c>
      <c r="J19" s="88">
        <f t="shared" si="10"/>
        <v>283.63285039446254</v>
      </c>
      <c r="K19" s="5">
        <f t="shared" si="7"/>
        <v>6.7007011515245532E-3</v>
      </c>
      <c r="L19" s="88">
        <f t="shared" si="11"/>
        <v>57014.436255930952</v>
      </c>
    </row>
    <row r="20" spans="1:12" x14ac:dyDescent="0.2">
      <c r="A20">
        <v>42</v>
      </c>
      <c r="B20" s="4">
        <f t="shared" si="0"/>
        <v>0.8403680906442681</v>
      </c>
      <c r="C20" s="9">
        <f>[1]Calibration!$A$8/2</f>
        <v>9.7215516693314897E-3</v>
      </c>
      <c r="D20" s="87">
        <f t="shared" si="1"/>
        <v>86.971877594429586</v>
      </c>
      <c r="E20" s="87">
        <f t="shared" si="2"/>
        <v>74.621324620645751</v>
      </c>
      <c r="F20" s="4">
        <f t="shared" si="3"/>
        <v>64.899567108409968</v>
      </c>
      <c r="G20" s="82">
        <f t="shared" si="4"/>
        <v>54539.525294534033</v>
      </c>
      <c r="H20" s="87">
        <f t="shared" si="9"/>
        <v>0.8538018809136958</v>
      </c>
      <c r="I20" s="4">
        <f t="shared" si="5"/>
        <v>0.31855913658689411</v>
      </c>
      <c r="J20" s="88">
        <f t="shared" si="10"/>
        <v>267.7069333708148</v>
      </c>
      <c r="K20" s="5">
        <f t="shared" si="7"/>
        <v>6.4035141068527193E-3</v>
      </c>
      <c r="L20" s="88">
        <f t="shared" si="11"/>
        <v>53813.089233894556</v>
      </c>
    </row>
    <row r="21" spans="1:12" x14ac:dyDescent="0.2">
      <c r="A21">
        <v>45</v>
      </c>
      <c r="B21" s="4">
        <f t="shared" si="0"/>
        <v>0.82999317594495636</v>
      </c>
      <c r="C21" s="9">
        <f>[1]Calibration!$A$8/2</f>
        <v>9.7215516693314897E-3</v>
      </c>
      <c r="D21" s="87">
        <f t="shared" si="1"/>
        <v>86.126375992616559</v>
      </c>
      <c r="E21" s="87">
        <f t="shared" si="2"/>
        <v>74.621324620645751</v>
      </c>
      <c r="F21" s="4">
        <f t="shared" si="3"/>
        <v>64.268642613448307</v>
      </c>
      <c r="G21" s="82">
        <f t="shared" si="4"/>
        <v>53342.534796407323</v>
      </c>
      <c r="H21" s="87">
        <f t="shared" si="9"/>
        <v>0.84550160181302092</v>
      </c>
      <c r="I21" s="4">
        <f t="shared" si="5"/>
        <v>0.31546224748082702</v>
      </c>
      <c r="J21" s="88">
        <f t="shared" si="10"/>
        <v>261.83151267734542</v>
      </c>
      <c r="K21" s="5">
        <f t="shared" si="7"/>
        <v>6.3412620135976571E-3</v>
      </c>
      <c r="L21" s="88">
        <f t="shared" si="11"/>
        <v>52632.041981650284</v>
      </c>
    </row>
    <row r="22" spans="1:12" x14ac:dyDescent="0.2">
      <c r="A22">
        <v>48</v>
      </c>
      <c r="B22" s="4">
        <f t="shared" si="0"/>
        <v>0.81974634661230239</v>
      </c>
      <c r="C22" s="9">
        <f>[1]Calibration!$A$8/2</f>
        <v>9.7215516693314897E-3</v>
      </c>
      <c r="D22" s="87">
        <f t="shared" si="1"/>
        <v>85.289093978312067</v>
      </c>
      <c r="E22" s="87">
        <f t="shared" si="2"/>
        <v>74.621324620645751</v>
      </c>
      <c r="F22" s="4">
        <f t="shared" si="3"/>
        <v>63.643851683563874</v>
      </c>
      <c r="G22" s="82">
        <f t="shared" si="4"/>
        <v>52171.814901936719</v>
      </c>
      <c r="H22" s="87">
        <f t="shared" si="9"/>
        <v>0.83728201430449301</v>
      </c>
      <c r="I22" s="4">
        <f t="shared" si="5"/>
        <v>0.31239546494221865</v>
      </c>
      <c r="J22" s="88">
        <f t="shared" si="10"/>
        <v>256.08504108463529</v>
      </c>
      <c r="K22" s="5">
        <f t="shared" si="7"/>
        <v>6.2796151072836981E-3</v>
      </c>
      <c r="L22" s="88">
        <f t="shared" si="11"/>
        <v>51476.91542327233</v>
      </c>
    </row>
    <row r="23" spans="1:12" x14ac:dyDescent="0.2">
      <c r="A23">
        <v>51</v>
      </c>
      <c r="B23" s="4">
        <f t="shared" si="0"/>
        <v>0.80962602134548389</v>
      </c>
      <c r="C23" s="9">
        <f>[1]Calibration!$A$9/2</f>
        <v>9.7215516693314897E-3</v>
      </c>
      <c r="D23" s="87">
        <f t="shared" si="1"/>
        <v>84.459951644371429</v>
      </c>
      <c r="E23" s="87">
        <f t="shared" si="2"/>
        <v>74.621324620645751</v>
      </c>
      <c r="F23" s="4">
        <f t="shared" si="3"/>
        <v>63.025134690986832</v>
      </c>
      <c r="G23" s="82">
        <f t="shared" si="4"/>
        <v>51026.789044626908</v>
      </c>
      <c r="H23" s="87">
        <f t="shared" si="9"/>
        <v>0.82914233394062997</v>
      </c>
      <c r="I23" s="4">
        <f t="shared" si="5"/>
        <v>0.30935849628851808</v>
      </c>
      <c r="J23" s="88">
        <f t="shared" si="10"/>
        <v>250.46468851949459</v>
      </c>
      <c r="K23" s="5">
        <f t="shared" si="7"/>
        <v>6.2185675045547248E-3</v>
      </c>
      <c r="L23" s="88">
        <f t="shared" si="11"/>
        <v>50347.14067180956</v>
      </c>
    </row>
    <row r="24" spans="1:12" x14ac:dyDescent="0.2">
      <c r="A24">
        <v>54</v>
      </c>
      <c r="B24" s="4">
        <f t="shared" si="0"/>
        <v>0.79963063836590986</v>
      </c>
      <c r="C24" s="9">
        <f>[1]Calibration!$A$6/2</f>
        <v>1.007028652009901E-2</v>
      </c>
      <c r="D24" s="87">
        <f t="shared" si="1"/>
        <v>83.638869860471431</v>
      </c>
      <c r="E24" s="87">
        <f t="shared" si="2"/>
        <v>74.621324620645751</v>
      </c>
      <c r="F24" s="4">
        <f t="shared" si="3"/>
        <v>62.412432587621822</v>
      </c>
      <c r="G24" s="82">
        <f t="shared" si="4"/>
        <v>49906.893312009357</v>
      </c>
      <c r="H24" s="87">
        <f t="shared" si="9"/>
        <v>0.82108178389999598</v>
      </c>
      <c r="I24" s="4">
        <f t="shared" si="5"/>
        <v>0.30635105168250254</v>
      </c>
      <c r="J24" s="88">
        <f t="shared" si="10"/>
        <v>244.96768702094738</v>
      </c>
      <c r="K24" s="5">
        <f t="shared" si="7"/>
        <v>6.1581133792499698E-3</v>
      </c>
      <c r="L24" s="88">
        <f t="shared" si="11"/>
        <v>49242.161325793037</v>
      </c>
    </row>
    <row r="25" spans="1:12" x14ac:dyDescent="0.2">
      <c r="A25">
        <v>57</v>
      </c>
      <c r="B25" s="4">
        <f t="shared" si="0"/>
        <v>0.78975865517620747</v>
      </c>
      <c r="C25" s="9">
        <f>[1]Calibration!$A$6/2</f>
        <v>1.007028652009901E-2</v>
      </c>
      <c r="D25" s="87">
        <f t="shared" si="1"/>
        <v>82.796602476759205</v>
      </c>
      <c r="E25" s="87">
        <f t="shared" si="2"/>
        <v>74.621324620645751</v>
      </c>
      <c r="F25" s="4">
        <f t="shared" si="3"/>
        <v>61.783921509048106</v>
      </c>
      <c r="G25" s="82">
        <f t="shared" si="4"/>
        <v>48794.386762498194</v>
      </c>
      <c r="H25" s="87">
        <f t="shared" si="9"/>
        <v>0.84226738371222087</v>
      </c>
      <c r="I25" s="4">
        <f t="shared" si="5"/>
        <v>0.31425553928685818</v>
      </c>
      <c r="J25" s="88">
        <f t="shared" si="10"/>
        <v>248.18603208886299</v>
      </c>
      <c r="K25" s="5">
        <f t="shared" si="7"/>
        <v>6.3170053778416569E-3</v>
      </c>
      <c r="L25" s="88">
        <f t="shared" si="11"/>
        <v>49889.096719450972</v>
      </c>
    </row>
    <row r="26" spans="1:12" x14ac:dyDescent="0.2">
      <c r="A26">
        <v>60</v>
      </c>
      <c r="B26" s="4">
        <f t="shared" si="0"/>
        <v>0.78000854832218014</v>
      </c>
      <c r="C26" s="9">
        <f>[1]Calibration!$A$6/2</f>
        <v>1.007028652009901E-2</v>
      </c>
      <c r="D26" s="87">
        <f t="shared" si="1"/>
        <v>81.962816966927505</v>
      </c>
      <c r="E26" s="87">
        <f t="shared" si="2"/>
        <v>74.621324620645751</v>
      </c>
      <c r="F26" s="4">
        <f t="shared" si="3"/>
        <v>61.161739717116689</v>
      </c>
      <c r="G26" s="82">
        <f t="shared" si="4"/>
        <v>47706.679809607216</v>
      </c>
      <c r="H26" s="87">
        <f t="shared" si="9"/>
        <v>0.83378550983170452</v>
      </c>
      <c r="I26" s="4">
        <f t="shared" si="5"/>
        <v>0.31109089596571121</v>
      </c>
      <c r="J26" s="88">
        <f t="shared" si="10"/>
        <v>242.65355815846078</v>
      </c>
      <c r="K26" s="5">
        <f t="shared" si="7"/>
        <v>6.2533913237377836E-3</v>
      </c>
      <c r="L26" s="88">
        <f t="shared" si="11"/>
        <v>48776.986885192251</v>
      </c>
    </row>
    <row r="28" spans="1:12" ht="15" x14ac:dyDescent="0.25">
      <c r="F28" s="89" t="s">
        <v>68</v>
      </c>
      <c r="H28" s="90">
        <f>SUM(G7:G26)+SUM(J7:J26)</f>
        <v>1195585.0301101997</v>
      </c>
    </row>
    <row r="29" spans="1:12" ht="15" x14ac:dyDescent="0.25">
      <c r="F29" s="89" t="s">
        <v>69</v>
      </c>
      <c r="H29" s="88">
        <f>SUM(L7:L26)</f>
        <v>1195585.0301101811</v>
      </c>
    </row>
    <row r="30" spans="1:12" ht="15" x14ac:dyDescent="0.25">
      <c r="F30" s="89" t="s">
        <v>70</v>
      </c>
      <c r="H30" s="91">
        <f>H29-H28</f>
        <v>-1.862645149230957E-8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BDT</vt:lpstr>
      <vt:lpstr>Defaultable</vt:lpstr>
      <vt:lpstr>Hazard calibration</vt:lpstr>
      <vt:lpstr>CDS pricing</vt:lpstr>
      <vt:lpstr>'CDS pricing'!N</vt:lpstr>
      <vt:lpstr>BDT!Print_Area</vt:lpstr>
      <vt:lpstr>'Hazard calibration'!rf</vt:lpstr>
      <vt:lpstr>S</vt:lpstr>
    </vt:vector>
  </TitlesOfParts>
  <Company>London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Models for AMF chapter 16</dc:title>
  <dc:creator>Mary Jackson and  Mike Staunton</dc:creator>
  <cp:lastModifiedBy>Molu Shi</cp:lastModifiedBy>
  <cp:lastPrinted>2004-05-18T03:27:22Z</cp:lastPrinted>
  <dcterms:created xsi:type="dcterms:W3CDTF">2000-07-13T16:13:54Z</dcterms:created>
  <dcterms:modified xsi:type="dcterms:W3CDTF">2015-10-13T22:05:46Z</dcterms:modified>
</cp:coreProperties>
</file>